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<sst xmlns="http://schemas.openxmlformats.org/spreadsheetml/2006/main" count="741" uniqueCount="549">
  <si>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</si>
  <si>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</si>
  <si>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</si>
  <si>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</si>
  <si>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</si>
  <si>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</si>
  <si>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</si>
  <si>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</si>
  <si>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</si>
  <si>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</si>
  <si>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</si>
  <si>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</si>
  <si>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</si>
  <si>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</si>
  <si>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</si>
  <si>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</si>
  <si>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</si>
  <si>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</si>
  <si>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</si>
  <si>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</si>
  <si>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</si>
  <si>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</si>
  <si>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</si>
  <si>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</si>
  <si>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</si>
  <si>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</si>
  <si>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</si>
  <si>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</si>
  <si>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</si>
  <si>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</si>
  <si>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</si>
  <si>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</si>
  <si>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</si>
  <si>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</si>
  <si>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</si>
  <si>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</si>
  <si>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</si>
  <si>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</si>
  <si>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</si>
  <si>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</si>
  <si>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</si>
  <si>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</si>
  <si>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</si>
  <si>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</si>
  <si>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</si>
  <si>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</si>
  <si>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</si>
  <si>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</si>
  <si>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</si>
  <si>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</si>
  <si>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</si>
  <si>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</si>
  <si>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</si>
  <si>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</si>
  <si>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</si>
  <si>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</si>
  <si>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</si>
  <si>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</si>
  <si>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</si>
  <si>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</si>
  <si>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</si>
  <si>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</si>
  <si>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</si>
  <si>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</si>
  <si>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</si>
  <si>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</si>
  <si>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</si>
  <si>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</si>
  <si>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</si>
  <si>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</si>
  <si>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</si>
  <si>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</si>
  <si>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</si>
  <si>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</si>
  <si>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</si>
  <si>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</si>
  <si>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</si>
  <si>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</si>
  <si>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</si>
  <si>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</si>
  <si>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</si>
  <si>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</si>
  <si>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</si>
  <si>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</si>
  <si>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</si>
  <si>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</si>
  <si>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</si>
  <si>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</si>
  <si>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</si>
  <si>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</si>
  <si>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</si>
  <si>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</si>
  <si>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Профінансовано станом на 29.10.15</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</si>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</sst>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3"/>
      <c r="C1" s="253"/>
      <c r="D1" s="253"/>
      <c r="E1" s="253"/>
      <c r="F1" s="253"/>
      <c r="G1" s="253"/>
      <c r="H1" s="253"/>
      <c r="I1" s="253"/>
      <c r="J1" s="253"/>
      <c r="K1" s="253"/>
      <c r="L1" s="253"/>
      <c r="M1" s="253"/>
      <c r="N1" s="253"/>
      <c r="O1" s="253"/>
      <c r="P1" s="253"/>
      <c r="Q1" s="253"/>
      <c r="R1" s="253"/>
      <c r="S1" s="253"/>
      <c r="T1" s="253"/>
      <c r="U1" s="253"/>
      <c r="V1" s="253"/>
      <c r="W1" s="253"/>
    </row>
    <row r="2" spans="1:24" s="42" customFormat="1" ht="66" customHeight="1">
      <c r="A2" s="48"/>
      <c r="B2" s="48"/>
      <c r="C2" s="2"/>
      <c r="D2" s="48"/>
      <c r="E2" s="48"/>
      <c r="F2" s="48"/>
      <c r="G2" s="46"/>
      <c r="H2" s="1"/>
      <c r="I2" s="1"/>
      <c r="J2" s="1"/>
      <c r="K2" s="1"/>
      <c r="L2" s="1"/>
      <c r="M2" s="1"/>
      <c r="N2" s="46"/>
      <c r="O2" s="1"/>
      <c r="P2" s="1"/>
      <c r="Q2" s="1"/>
      <c r="R2" s="1"/>
      <c r="S2" s="254" t="s">
        <v>311</v>
      </c>
      <c r="T2" s="254"/>
      <c r="U2" s="254"/>
      <c r="V2" s="254"/>
      <c r="W2" s="254"/>
      <c r="X2" s="254"/>
    </row>
    <row r="3" spans="1:23" s="4" customFormat="1" ht="45" customHeight="1">
      <c r="A3" s="48"/>
      <c r="B3" s="255" t="s">
        <v>29</v>
      </c>
      <c r="C3" s="255"/>
      <c r="D3" s="233"/>
      <c r="E3" s="233"/>
      <c r="F3" s="233"/>
      <c r="G3" s="233"/>
      <c r="H3" s="233"/>
      <c r="I3" s="233"/>
      <c r="J3" s="233"/>
      <c r="K3" s="233"/>
      <c r="L3" s="233"/>
      <c r="M3" s="233"/>
      <c r="N3" s="233"/>
      <c r="O3" s="233"/>
      <c r="P3" s="233"/>
      <c r="Q3" s="233"/>
      <c r="R3" s="233"/>
      <c r="S3" s="233"/>
      <c r="T3" s="233"/>
      <c r="U3" s="233"/>
      <c r="V3" s="233"/>
      <c r="W3" s="233"/>
    </row>
    <row r="4" spans="1:23" s="42" customFormat="1" ht="18.75">
      <c r="A4" s="5"/>
      <c r="B4" s="15"/>
      <c r="C4" s="113"/>
      <c r="D4" s="61"/>
      <c r="E4" s="61"/>
      <c r="F4" s="61"/>
      <c r="G4" s="47"/>
      <c r="H4" s="6"/>
      <c r="I4" s="62"/>
      <c r="J4" s="62"/>
      <c r="K4" s="62"/>
      <c r="L4" s="61"/>
      <c r="M4" s="61"/>
      <c r="N4" s="3"/>
      <c r="O4" s="7"/>
      <c r="P4" s="7"/>
      <c r="Q4" s="7"/>
      <c r="R4" s="7"/>
      <c r="S4" s="7"/>
      <c r="T4" s="7"/>
      <c r="U4" s="7"/>
      <c r="V4" s="7"/>
      <c r="W4" s="78" t="s">
        <v>442</v>
      </c>
    </row>
    <row r="5" spans="1:23" s="42" customFormat="1" ht="21.75" customHeight="1">
      <c r="A5" s="63"/>
      <c r="B5" s="234" t="s">
        <v>500</v>
      </c>
      <c r="C5" s="236" t="s">
        <v>30</v>
      </c>
      <c r="D5" s="236" t="s">
        <v>439</v>
      </c>
      <c r="E5" s="257" t="s">
        <v>430</v>
      </c>
      <c r="F5" s="258" t="s">
        <v>48</v>
      </c>
      <c r="G5" s="245" t="s">
        <v>421</v>
      </c>
      <c r="H5" s="245"/>
      <c r="I5" s="245"/>
      <c r="J5" s="245"/>
      <c r="K5" s="245"/>
      <c r="L5" s="245"/>
      <c r="M5" s="245"/>
      <c r="N5" s="247" t="s">
        <v>422</v>
      </c>
      <c r="O5" s="248"/>
      <c r="P5" s="248"/>
      <c r="Q5" s="248"/>
      <c r="R5" s="248"/>
      <c r="S5" s="248"/>
      <c r="T5" s="248"/>
      <c r="U5" s="248"/>
      <c r="V5" s="249"/>
      <c r="W5" s="246" t="s">
        <v>423</v>
      </c>
    </row>
    <row r="6" spans="1:23" s="42" customFormat="1" ht="16.5" customHeight="1">
      <c r="A6" s="64"/>
      <c r="B6" s="235"/>
      <c r="C6" s="237"/>
      <c r="D6" s="237"/>
      <c r="E6" s="257"/>
      <c r="F6" s="239"/>
      <c r="G6" s="259" t="s">
        <v>424</v>
      </c>
      <c r="H6" s="240" t="s">
        <v>425</v>
      </c>
      <c r="I6" s="239" t="s">
        <v>426</v>
      </c>
      <c r="J6" s="239"/>
      <c r="K6" s="239"/>
      <c r="L6" s="239"/>
      <c r="M6" s="240" t="s">
        <v>427</v>
      </c>
      <c r="N6" s="250" t="s">
        <v>424</v>
      </c>
      <c r="O6" s="240" t="s">
        <v>425</v>
      </c>
      <c r="P6" s="239" t="s">
        <v>426</v>
      </c>
      <c r="Q6" s="239"/>
      <c r="R6" s="239"/>
      <c r="S6" s="239"/>
      <c r="T6" s="240" t="s">
        <v>427</v>
      </c>
      <c r="U6" s="241" t="s">
        <v>426</v>
      </c>
      <c r="V6" s="242"/>
      <c r="W6" s="246"/>
    </row>
    <row r="7" spans="1:23" s="42" customFormat="1" ht="20.25" customHeight="1">
      <c r="A7" s="65"/>
      <c r="B7" s="235"/>
      <c r="C7" s="237"/>
      <c r="D7" s="237"/>
      <c r="E7" s="257"/>
      <c r="F7" s="239"/>
      <c r="G7" s="259"/>
      <c r="H7" s="240"/>
      <c r="I7" s="239" t="s">
        <v>503</v>
      </c>
      <c r="J7" s="243" t="s">
        <v>292</v>
      </c>
      <c r="K7" s="243" t="s">
        <v>293</v>
      </c>
      <c r="L7" s="239" t="s">
        <v>428</v>
      </c>
      <c r="M7" s="240"/>
      <c r="N7" s="250"/>
      <c r="O7" s="240"/>
      <c r="P7" s="239" t="s">
        <v>503</v>
      </c>
      <c r="Q7" s="243" t="s">
        <v>292</v>
      </c>
      <c r="R7" s="243" t="s">
        <v>293</v>
      </c>
      <c r="S7" s="239" t="s">
        <v>428</v>
      </c>
      <c r="T7" s="240"/>
      <c r="U7" s="239" t="s">
        <v>435</v>
      </c>
      <c r="V7" s="34" t="s">
        <v>426</v>
      </c>
      <c r="W7" s="246"/>
    </row>
    <row r="8" spans="1:23" s="42" customFormat="1" ht="114.75" customHeight="1">
      <c r="A8" s="66"/>
      <c r="B8" s="256"/>
      <c r="C8" s="238"/>
      <c r="D8" s="238"/>
      <c r="E8" s="257"/>
      <c r="F8" s="239"/>
      <c r="G8" s="259"/>
      <c r="H8" s="240"/>
      <c r="I8" s="239"/>
      <c r="J8" s="244"/>
      <c r="K8" s="244"/>
      <c r="L8" s="239"/>
      <c r="M8" s="240"/>
      <c r="N8" s="250"/>
      <c r="O8" s="240"/>
      <c r="P8" s="239"/>
      <c r="Q8" s="244"/>
      <c r="R8" s="244"/>
      <c r="S8" s="239"/>
      <c r="T8" s="240"/>
      <c r="U8" s="239"/>
      <c r="V8" s="34" t="s">
        <v>296</v>
      </c>
      <c r="W8" s="246"/>
    </row>
    <row r="9" spans="1:23" s="68" customFormat="1" ht="28.5" customHeight="1">
      <c r="A9" s="67"/>
      <c r="B9" s="16" t="s">
        <v>433</v>
      </c>
      <c r="C9" s="21" t="s">
        <v>31</v>
      </c>
      <c r="D9" s="21"/>
      <c r="E9" s="21"/>
      <c r="F9" s="22" t="s">
        <v>443</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433</v>
      </c>
      <c r="C10" s="21" t="s">
        <v>32</v>
      </c>
      <c r="D10" s="21"/>
      <c r="E10" s="21"/>
      <c r="F10" s="22" t="s">
        <v>443</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440</v>
      </c>
      <c r="C11" s="17" t="s">
        <v>33</v>
      </c>
      <c r="D11" s="17" t="s">
        <v>434</v>
      </c>
      <c r="E11" s="17" t="s">
        <v>429</v>
      </c>
      <c r="F11" s="12" t="s">
        <v>99</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431</v>
      </c>
      <c r="C12" s="17" t="s">
        <v>35</v>
      </c>
      <c r="D12" s="17" t="s">
        <v>448</v>
      </c>
      <c r="E12" s="17" t="s">
        <v>504</v>
      </c>
      <c r="F12" s="20" t="s">
        <v>101</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34</v>
      </c>
      <c r="D13" s="17" t="s">
        <v>447</v>
      </c>
      <c r="E13" s="17" t="s">
        <v>502</v>
      </c>
      <c r="F13" s="20" t="s">
        <v>100</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548</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36</v>
      </c>
      <c r="D15" s="17" t="s">
        <v>505</v>
      </c>
      <c r="E15" s="17" t="s">
        <v>506</v>
      </c>
      <c r="F15" s="20" t="s">
        <v>102</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186</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37</v>
      </c>
      <c r="D17" s="17" t="s">
        <v>452</v>
      </c>
      <c r="E17" s="17" t="s">
        <v>507</v>
      </c>
      <c r="F17" s="20" t="s">
        <v>482</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534</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535</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536</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537</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159</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538</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38</v>
      </c>
      <c r="D24" s="21"/>
      <c r="E24" s="21"/>
      <c r="F24" s="22" t="s">
        <v>39</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40</v>
      </c>
      <c r="D25" s="21"/>
      <c r="E25" s="21"/>
      <c r="F25" s="22" t="s">
        <v>39</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440</v>
      </c>
      <c r="C26" s="17" t="s">
        <v>41</v>
      </c>
      <c r="D26" s="17" t="s">
        <v>434</v>
      </c>
      <c r="E26" s="17" t="s">
        <v>429</v>
      </c>
      <c r="F26" s="12" t="s">
        <v>99</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42</v>
      </c>
      <c r="D27" s="21"/>
      <c r="E27" s="21"/>
      <c r="F27" s="22" t="s">
        <v>453</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42</v>
      </c>
      <c r="D28" s="21"/>
      <c r="E28" s="21"/>
      <c r="F28" s="22" t="s">
        <v>453</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440</v>
      </c>
      <c r="C29" s="17" t="s">
        <v>43</v>
      </c>
      <c r="D29" s="17" t="s">
        <v>434</v>
      </c>
      <c r="E29" s="17" t="s">
        <v>429</v>
      </c>
      <c r="F29" s="12" t="s">
        <v>99</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44</v>
      </c>
      <c r="D30" s="16" t="s">
        <v>454</v>
      </c>
      <c r="E30" s="16"/>
      <c r="F30" s="10" t="s">
        <v>455</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392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393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394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45</v>
      </c>
      <c r="D34" s="17" t="s">
        <v>456</v>
      </c>
      <c r="E34" s="17" t="s">
        <v>508</v>
      </c>
      <c r="F34" s="20" t="s">
        <v>103</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391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457</v>
      </c>
      <c r="E36" s="17" t="s">
        <v>509</v>
      </c>
      <c r="F36" s="20" t="s">
        <v>104</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392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393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394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458</v>
      </c>
      <c r="E40" s="17" t="s">
        <v>510</v>
      </c>
      <c r="F40" s="20" t="s">
        <v>105</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395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444</v>
      </c>
      <c r="E42" s="17" t="s">
        <v>508</v>
      </c>
      <c r="F42" s="20" t="s">
        <v>208</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459</v>
      </c>
      <c r="E43" s="17" t="s">
        <v>209</v>
      </c>
      <c r="F43" s="20" t="s">
        <v>210</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460</v>
      </c>
      <c r="E44" s="17" t="s">
        <v>211</v>
      </c>
      <c r="F44" s="20" t="s">
        <v>106</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461</v>
      </c>
      <c r="E45" s="17" t="s">
        <v>212</v>
      </c>
      <c r="F45" s="20" t="s">
        <v>107</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462</v>
      </c>
      <c r="E46" s="17" t="s">
        <v>213</v>
      </c>
      <c r="F46" s="20" t="s">
        <v>108</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463</v>
      </c>
      <c r="E47" s="17" t="s">
        <v>213</v>
      </c>
      <c r="F47" s="20" t="s">
        <v>109</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464</v>
      </c>
      <c r="E48" s="17" t="s">
        <v>214</v>
      </c>
      <c r="F48" s="20" t="s">
        <v>110</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465</v>
      </c>
      <c r="E49" s="17" t="s">
        <v>214</v>
      </c>
      <c r="F49" s="20" t="s">
        <v>111</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466</v>
      </c>
      <c r="E50" s="17" t="s">
        <v>214</v>
      </c>
      <c r="F50" s="20" t="s">
        <v>112</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445</v>
      </c>
      <c r="E51" s="16"/>
      <c r="F51" s="10" t="s">
        <v>446</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215</v>
      </c>
      <c r="E52" s="17" t="s">
        <v>216</v>
      </c>
      <c r="F52" s="20" t="s">
        <v>113</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217</v>
      </c>
      <c r="E53" s="17" t="s">
        <v>216</v>
      </c>
      <c r="F53" s="20" t="s">
        <v>114</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218</v>
      </c>
      <c r="E54" s="17" t="s">
        <v>216</v>
      </c>
      <c r="F54" s="20" t="s">
        <v>115</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220</v>
      </c>
      <c r="E55" s="17" t="s">
        <v>216</v>
      </c>
      <c r="F55" s="20" t="s">
        <v>116</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219</v>
      </c>
      <c r="E56" s="17" t="s">
        <v>216</v>
      </c>
      <c r="F56" s="20" t="s">
        <v>482</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467</v>
      </c>
      <c r="E57" s="16"/>
      <c r="F57" s="10" t="s">
        <v>221</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222</v>
      </c>
      <c r="E58" s="17" t="s">
        <v>225</v>
      </c>
      <c r="F58" s="20" t="s">
        <v>468</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223</v>
      </c>
      <c r="E59" s="17" t="s">
        <v>226</v>
      </c>
      <c r="F59" s="20" t="s">
        <v>117</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224</v>
      </c>
      <c r="E60" s="17" t="s">
        <v>228</v>
      </c>
      <c r="F60" s="20" t="s">
        <v>227</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448</v>
      </c>
      <c r="E61" s="17" t="s">
        <v>229</v>
      </c>
      <c r="F61" s="20" t="s">
        <v>230</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469</v>
      </c>
      <c r="E62" s="16"/>
      <c r="F62" s="10" t="s">
        <v>470</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231</v>
      </c>
      <c r="E63" s="17" t="s">
        <v>235</v>
      </c>
      <c r="F63" s="20" t="s">
        <v>118</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232</v>
      </c>
      <c r="E64" s="17" t="s">
        <v>235</v>
      </c>
      <c r="F64" s="20" t="s">
        <v>119</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233</v>
      </c>
      <c r="E65" s="17" t="s">
        <v>235</v>
      </c>
      <c r="F65" s="20" t="s">
        <v>120</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234</v>
      </c>
      <c r="E66" s="17" t="s">
        <v>235</v>
      </c>
      <c r="F66" s="20" t="s">
        <v>121</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449</v>
      </c>
      <c r="E67" s="16"/>
      <c r="F67" s="10" t="s">
        <v>450</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437</v>
      </c>
      <c r="E68" s="17" t="s">
        <v>438</v>
      </c>
      <c r="F68" s="20" t="s">
        <v>122</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471</v>
      </c>
      <c r="E69" s="17" t="s">
        <v>509</v>
      </c>
      <c r="F69" s="20" t="s">
        <v>372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472</v>
      </c>
      <c r="E70" s="17" t="s">
        <v>228</v>
      </c>
      <c r="F70" s="20" t="s">
        <v>373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451</v>
      </c>
      <c r="E71" s="16" t="s">
        <v>438</v>
      </c>
      <c r="F71" s="10" t="s">
        <v>236</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385</v>
      </c>
      <c r="E72" s="16" t="s">
        <v>436</v>
      </c>
      <c r="F72" s="10" t="s">
        <v>374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452</v>
      </c>
      <c r="E73" s="16" t="s">
        <v>507</v>
      </c>
      <c r="F73" s="10" t="s">
        <v>482</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384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49</v>
      </c>
      <c r="D75" s="21"/>
      <c r="E75" s="21"/>
      <c r="F75" s="22" t="s">
        <v>473</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50</v>
      </c>
      <c r="D76" s="21"/>
      <c r="E76" s="21"/>
      <c r="F76" s="22" t="s">
        <v>46</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440</v>
      </c>
      <c r="C77" s="17" t="s">
        <v>51</v>
      </c>
      <c r="D77" s="17" t="s">
        <v>434</v>
      </c>
      <c r="E77" s="17" t="s">
        <v>429</v>
      </c>
      <c r="F77" s="12" t="s">
        <v>99</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474</v>
      </c>
      <c r="E78" s="16"/>
      <c r="F78" s="10" t="s">
        <v>501</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390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310</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475</v>
      </c>
      <c r="E81" s="17" t="s">
        <v>237</v>
      </c>
      <c r="F81" s="20" t="s">
        <v>375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396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310</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476</v>
      </c>
      <c r="E84" s="17" t="s">
        <v>238</v>
      </c>
      <c r="F84" s="20" t="s">
        <v>376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396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477</v>
      </c>
      <c r="E86" s="17" t="s">
        <v>239</v>
      </c>
      <c r="F86" s="20" t="s">
        <v>377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396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479</v>
      </c>
      <c r="E88" s="17" t="s">
        <v>240</v>
      </c>
      <c r="F88" s="20" t="s">
        <v>378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396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480</v>
      </c>
      <c r="E90" s="17" t="s">
        <v>241</v>
      </c>
      <c r="F90" s="20" t="s">
        <v>379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396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5</v>
      </c>
      <c r="E92" s="17"/>
      <c r="F92" s="20" t="s">
        <v>146</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318</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449</v>
      </c>
      <c r="E94" s="16"/>
      <c r="F94" s="10" t="s">
        <v>450</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242</v>
      </c>
      <c r="E95" s="17" t="s">
        <v>237</v>
      </c>
      <c r="F95" s="20" t="s">
        <v>380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452</v>
      </c>
      <c r="E96" s="16" t="s">
        <v>507</v>
      </c>
      <c r="F96" s="10" t="s">
        <v>482</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481</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52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440</v>
      </c>
      <c r="C99" s="17" t="s">
        <v>53</v>
      </c>
      <c r="D99" s="17" t="s">
        <v>434</v>
      </c>
      <c r="E99" s="17" t="s">
        <v>429</v>
      </c>
      <c r="F99" s="12" t="s">
        <v>99</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54</v>
      </c>
      <c r="D100" s="17" t="s">
        <v>444</v>
      </c>
      <c r="E100" s="17" t="s">
        <v>397</v>
      </c>
      <c r="F100" s="12" t="s">
        <v>381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445</v>
      </c>
      <c r="E102" s="16"/>
      <c r="F102" s="10" t="s">
        <v>446</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318</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0</v>
      </c>
      <c r="E105" s="69" t="s">
        <v>398</v>
      </c>
      <c r="F105" s="70" t="s">
        <v>382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v>
      </c>
      <c r="E107" s="115">
        <v>1030</v>
      </c>
      <c r="F107" s="44" t="s">
        <v>144</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v>
      </c>
      <c r="E109" s="69" t="s">
        <v>399</v>
      </c>
      <c r="F109" s="116" t="s">
        <v>145</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7</v>
      </c>
      <c r="E111" s="71">
        <v>1070</v>
      </c>
      <c r="F111" s="43" t="s">
        <v>147</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17</v>
      </c>
      <c r="E113" s="71">
        <v>1060</v>
      </c>
      <c r="F113" s="43" t="s">
        <v>157</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19</v>
      </c>
      <c r="E115" s="71">
        <v>1060</v>
      </c>
      <c r="F115" s="43" t="s">
        <v>20</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v>
      </c>
      <c r="E117" s="72"/>
      <c r="F117" s="43" t="s">
        <v>383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8</v>
      </c>
      <c r="E119" s="71">
        <v>1070</v>
      </c>
      <c r="F119" s="43" t="s">
        <v>148</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18</v>
      </c>
      <c r="E121" s="71">
        <v>1060</v>
      </c>
      <c r="F121" s="43" t="s">
        <v>158</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24</v>
      </c>
      <c r="E123" s="71">
        <v>1060</v>
      </c>
      <c r="F123" s="43" t="s">
        <v>25</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298</v>
      </c>
      <c r="E125" s="72"/>
      <c r="F125" s="43" t="s">
        <v>299</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300</v>
      </c>
      <c r="E127" s="72"/>
      <c r="F127" s="43" t="s">
        <v>301</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302</v>
      </c>
      <c r="E129" s="72"/>
      <c r="F129" s="43" t="s">
        <v>303</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9</v>
      </c>
      <c r="E131" s="71" t="s">
        <v>400</v>
      </c>
      <c r="F131" s="43" t="s">
        <v>149</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10</v>
      </c>
      <c r="E133" s="71" t="s">
        <v>400</v>
      </c>
      <c r="F133" s="43" t="s">
        <v>150</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11</v>
      </c>
      <c r="E135" s="71" t="s">
        <v>400</v>
      </c>
      <c r="F135" s="43" t="s">
        <v>151</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12</v>
      </c>
      <c r="E137" s="71" t="s">
        <v>400</v>
      </c>
      <c r="F137" s="43" t="s">
        <v>152</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13</v>
      </c>
      <c r="E139" s="73"/>
      <c r="F139" s="43" t="s">
        <v>153</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14</v>
      </c>
      <c r="E141" s="71" t="s">
        <v>400</v>
      </c>
      <c r="F141" s="43" t="s">
        <v>154</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15</v>
      </c>
      <c r="E143" s="71" t="s">
        <v>400</v>
      </c>
      <c r="F143" s="43" t="s">
        <v>155</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16</v>
      </c>
      <c r="E145" s="71" t="s">
        <v>400</v>
      </c>
      <c r="F145" s="43" t="s">
        <v>156</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315</v>
      </c>
      <c r="E147" s="71" t="s">
        <v>283</v>
      </c>
      <c r="F147" s="43" t="s">
        <v>169</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5</v>
      </c>
      <c r="E149" s="71" t="s">
        <v>399</v>
      </c>
      <c r="F149" s="45" t="s">
        <v>146</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6</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23</v>
      </c>
      <c r="E151" s="71" t="s">
        <v>283</v>
      </c>
      <c r="F151" s="43" t="s">
        <v>162</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26</v>
      </c>
      <c r="E153" s="71" t="s">
        <v>398</v>
      </c>
      <c r="F153" s="43" t="s">
        <v>163</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6</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27</v>
      </c>
      <c r="E155" s="71" t="s">
        <v>284</v>
      </c>
      <c r="F155" s="75" t="s">
        <v>164</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28</v>
      </c>
      <c r="E156" s="71" t="s">
        <v>283</v>
      </c>
      <c r="F156" s="43" t="s">
        <v>165</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316</v>
      </c>
      <c r="E157" s="71" t="s">
        <v>283</v>
      </c>
      <c r="F157" s="43" t="s">
        <v>170</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6</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317</v>
      </c>
      <c r="E159" s="71" t="s">
        <v>283</v>
      </c>
      <c r="F159" s="43" t="s">
        <v>171</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6</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313</v>
      </c>
      <c r="E161" s="71">
        <v>1060</v>
      </c>
      <c r="F161" s="76" t="s">
        <v>167</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314</v>
      </c>
      <c r="E162" s="71" t="s">
        <v>398</v>
      </c>
      <c r="F162" s="76" t="s">
        <v>168</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21</v>
      </c>
      <c r="E163" s="71" t="s">
        <v>282</v>
      </c>
      <c r="F163" s="43" t="s">
        <v>22</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6</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55</v>
      </c>
      <c r="D165" s="23"/>
      <c r="E165" s="23"/>
      <c r="F165" s="22" t="s">
        <v>483</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56</v>
      </c>
      <c r="D166" s="23"/>
      <c r="E166" s="23"/>
      <c r="F166" s="22" t="s">
        <v>483</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440</v>
      </c>
      <c r="C167" s="17" t="s">
        <v>57</v>
      </c>
      <c r="D167" s="17" t="s">
        <v>434</v>
      </c>
      <c r="E167" s="17" t="s">
        <v>429</v>
      </c>
      <c r="F167" s="12" t="s">
        <v>99</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307</v>
      </c>
      <c r="D168" s="17" t="s">
        <v>304</v>
      </c>
      <c r="E168" s="17"/>
      <c r="F168" s="12" t="s">
        <v>306</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308</v>
      </c>
      <c r="D170" s="17" t="s">
        <v>305</v>
      </c>
      <c r="E170" s="17"/>
      <c r="F170" s="12" t="s">
        <v>309</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58</v>
      </c>
      <c r="D172" s="16" t="s">
        <v>243</v>
      </c>
      <c r="E172" s="16"/>
      <c r="F172" s="13" t="s">
        <v>244</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59</v>
      </c>
      <c r="D173" s="17" t="s">
        <v>484</v>
      </c>
      <c r="E173" s="17" t="s">
        <v>247</v>
      </c>
      <c r="F173" s="12" t="s">
        <v>172</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485</v>
      </c>
      <c r="E174" s="17" t="s">
        <v>247</v>
      </c>
      <c r="F174" s="12" t="s">
        <v>248</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60</v>
      </c>
      <c r="D175" s="17" t="s">
        <v>245</v>
      </c>
      <c r="E175" s="17" t="s">
        <v>249</v>
      </c>
      <c r="F175" s="12" t="s">
        <v>173</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61</v>
      </c>
      <c r="D176" s="17" t="s">
        <v>246</v>
      </c>
      <c r="E176" s="17" t="s">
        <v>249</v>
      </c>
      <c r="F176" s="12" t="s">
        <v>297</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449</v>
      </c>
      <c r="E177" s="16"/>
      <c r="F177" s="10" t="s">
        <v>450</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437</v>
      </c>
      <c r="E178" s="17" t="s">
        <v>285</v>
      </c>
      <c r="F178" s="20" t="s">
        <v>122</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62</v>
      </c>
      <c r="D179" s="16" t="s">
        <v>250</v>
      </c>
      <c r="E179" s="16"/>
      <c r="F179" s="13" t="s">
        <v>251</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63</v>
      </c>
      <c r="D180" s="17" t="s">
        <v>252</v>
      </c>
      <c r="E180" s="17" t="s">
        <v>253</v>
      </c>
      <c r="F180" s="12" t="s">
        <v>486</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64</v>
      </c>
      <c r="D181" s="17" t="s">
        <v>161</v>
      </c>
      <c r="E181" s="17" t="s">
        <v>286</v>
      </c>
      <c r="F181" s="12" t="s">
        <v>386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65</v>
      </c>
      <c r="D182" s="16" t="s">
        <v>487</v>
      </c>
      <c r="E182" s="16"/>
      <c r="F182" s="13" t="s">
        <v>387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66</v>
      </c>
      <c r="D183" s="17" t="s">
        <v>488</v>
      </c>
      <c r="E183" s="17" t="s">
        <v>254</v>
      </c>
      <c r="F183" s="12" t="s">
        <v>174</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539</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67</v>
      </c>
      <c r="D185" s="17" t="s">
        <v>489</v>
      </c>
      <c r="E185" s="17" t="s">
        <v>254</v>
      </c>
      <c r="F185" s="12" t="s">
        <v>175</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540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68</v>
      </c>
      <c r="D187" s="16" t="s">
        <v>255</v>
      </c>
      <c r="E187" s="16"/>
      <c r="F187" s="13" t="s">
        <v>420</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69</v>
      </c>
      <c r="D188" s="17" t="s">
        <v>490</v>
      </c>
      <c r="E188" s="17" t="s">
        <v>256</v>
      </c>
      <c r="F188" s="12" t="s">
        <v>176</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70</v>
      </c>
      <c r="D189" s="17" t="s">
        <v>491</v>
      </c>
      <c r="E189" s="17" t="s">
        <v>257</v>
      </c>
      <c r="F189" s="12" t="s">
        <v>492</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71</v>
      </c>
      <c r="D190" s="17" t="s">
        <v>493</v>
      </c>
      <c r="E190" s="17" t="s">
        <v>258</v>
      </c>
      <c r="F190" s="12" t="s">
        <v>259</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72</v>
      </c>
      <c r="D191" s="17" t="s">
        <v>494</v>
      </c>
      <c r="E191" s="17" t="s">
        <v>261</v>
      </c>
      <c r="F191" s="12" t="s">
        <v>260</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73</v>
      </c>
      <c r="D192" s="21"/>
      <c r="E192" s="21"/>
      <c r="F192" s="22" t="s">
        <v>495</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74</v>
      </c>
      <c r="D193" s="21"/>
      <c r="E193" s="21"/>
      <c r="F193" s="22" t="s">
        <v>495</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440</v>
      </c>
      <c r="C194" s="17" t="s">
        <v>75</v>
      </c>
      <c r="D194" s="17" t="s">
        <v>434</v>
      </c>
      <c r="E194" s="17" t="s">
        <v>429</v>
      </c>
      <c r="F194" s="12" t="s">
        <v>99</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76</v>
      </c>
      <c r="D195" s="17" t="s">
        <v>456</v>
      </c>
      <c r="E195" s="17" t="s">
        <v>397</v>
      </c>
      <c r="F195" s="20" t="s">
        <v>104</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77</v>
      </c>
      <c r="D196" s="17" t="s">
        <v>457</v>
      </c>
      <c r="E196" s="17" t="s">
        <v>287</v>
      </c>
      <c r="F196" s="20" t="s">
        <v>124</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78</v>
      </c>
      <c r="D197" s="74" t="s">
        <v>27</v>
      </c>
      <c r="E197" s="17" t="s">
        <v>284</v>
      </c>
      <c r="F197" s="75" t="s">
        <v>164</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80</v>
      </c>
      <c r="D198" s="17" t="s">
        <v>233</v>
      </c>
      <c r="E198" s="17" t="s">
        <v>289</v>
      </c>
      <c r="F198" s="20" t="s">
        <v>177</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79</v>
      </c>
      <c r="D199" s="17" t="s">
        <v>246</v>
      </c>
      <c r="E199" s="17" t="s">
        <v>288</v>
      </c>
      <c r="F199" s="12" t="s">
        <v>297</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81</v>
      </c>
      <c r="D200" s="17" t="s">
        <v>437</v>
      </c>
      <c r="E200" s="17" t="s">
        <v>285</v>
      </c>
      <c r="F200" s="20" t="s">
        <v>122</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82</v>
      </c>
      <c r="D201" s="17" t="s">
        <v>471</v>
      </c>
      <c r="E201" s="17">
        <v>921</v>
      </c>
      <c r="F201" s="20" t="s">
        <v>178</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83</v>
      </c>
      <c r="D202" s="17" t="s">
        <v>161</v>
      </c>
      <c r="E202" s="17">
        <v>456</v>
      </c>
      <c r="F202" s="12" t="s">
        <v>386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84</v>
      </c>
      <c r="D203" s="17" t="s">
        <v>452</v>
      </c>
      <c r="E203" s="17" t="s">
        <v>507</v>
      </c>
      <c r="F203" s="20" t="s">
        <v>482</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541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123</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542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432</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85</v>
      </c>
      <c r="D208" s="21"/>
      <c r="E208" s="21"/>
      <c r="F208" s="22" t="s">
        <v>496</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86</v>
      </c>
      <c r="D209" s="21"/>
      <c r="E209" s="21"/>
      <c r="F209" s="22" t="s">
        <v>496</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440</v>
      </c>
      <c r="C210" s="17" t="s">
        <v>87</v>
      </c>
      <c r="D210" s="17" t="s">
        <v>434</v>
      </c>
      <c r="E210" s="17" t="s">
        <v>429</v>
      </c>
      <c r="F210" s="12" t="s">
        <v>99</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452</v>
      </c>
      <c r="E211" s="17" t="s">
        <v>507</v>
      </c>
      <c r="F211" s="20" t="s">
        <v>482</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543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544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545</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546</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547</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415</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388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385</v>
      </c>
      <c r="E219" s="16" t="s">
        <v>436</v>
      </c>
      <c r="F219" s="10" t="s">
        <v>374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89</v>
      </c>
      <c r="D220" s="23"/>
      <c r="E220" s="23"/>
      <c r="F220" s="22" t="s">
        <v>88</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90</v>
      </c>
      <c r="D221" s="23"/>
      <c r="E221" s="23"/>
      <c r="F221" s="22" t="s">
        <v>88</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440</v>
      </c>
      <c r="C222" s="17" t="s">
        <v>91</v>
      </c>
      <c r="D222" s="17" t="s">
        <v>434</v>
      </c>
      <c r="E222" s="17" t="s">
        <v>429</v>
      </c>
      <c r="F222" s="12" t="s">
        <v>99</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94</v>
      </c>
      <c r="D223" s="17" t="s">
        <v>452</v>
      </c>
      <c r="E223" s="17" t="s">
        <v>291</v>
      </c>
      <c r="F223" s="20" t="s">
        <v>482</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389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93</v>
      </c>
      <c r="D225" s="17" t="s">
        <v>497</v>
      </c>
      <c r="E225" s="17" t="s">
        <v>290</v>
      </c>
      <c r="F225" s="12" t="s">
        <v>262</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95</v>
      </c>
      <c r="D226" s="23"/>
      <c r="E226" s="23"/>
      <c r="F226" s="22" t="s">
        <v>498</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96</v>
      </c>
      <c r="D227" s="23"/>
      <c r="E227" s="23"/>
      <c r="F227" s="22" t="s">
        <v>498</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97</v>
      </c>
      <c r="D228" s="17" t="s">
        <v>499</v>
      </c>
      <c r="E228" s="17" t="s">
        <v>263</v>
      </c>
      <c r="F228" s="12" t="s">
        <v>264</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98</v>
      </c>
      <c r="D229" s="17" t="s">
        <v>294</v>
      </c>
      <c r="E229" s="17" t="s">
        <v>295</v>
      </c>
      <c r="F229" s="30" t="s">
        <v>179</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533</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416</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441</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1" t="s">
        <v>531</v>
      </c>
      <c r="D237" s="252"/>
      <c r="E237" s="252"/>
      <c r="F237" s="252"/>
      <c r="G237" s="252"/>
      <c r="H237" s="32"/>
      <c r="I237" s="32"/>
      <c r="J237" s="32"/>
      <c r="K237" s="32"/>
      <c r="L237" s="32"/>
      <c r="M237" s="32"/>
      <c r="N237" s="32"/>
      <c r="O237" s="32"/>
      <c r="P237" s="32"/>
      <c r="Q237" s="32"/>
      <c r="R237" s="32"/>
      <c r="S237" s="32"/>
      <c r="T237" s="32"/>
      <c r="U237" s="32"/>
      <c r="V237" s="32"/>
      <c r="W237" s="32" t="s">
        <v>532</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4" t="s">
        <v>312</v>
      </c>
      <c r="C1" s="254"/>
      <c r="D1" s="254"/>
    </row>
    <row r="2" ht="18" customHeight="1" hidden="1">
      <c r="C2" s="91"/>
    </row>
    <row r="3" spans="3:9" ht="18" customHeight="1" hidden="1">
      <c r="C3" s="91"/>
      <c r="I3" s="92"/>
    </row>
    <row r="4" ht="18" customHeight="1"/>
    <row r="5" spans="1:3" ht="56.25" customHeight="1">
      <c r="A5" s="264" t="s">
        <v>401</v>
      </c>
      <c r="B5" s="264"/>
      <c r="C5" s="264"/>
    </row>
    <row r="6" spans="1:3" ht="9" customHeight="1">
      <c r="A6" s="265"/>
      <c r="B6" s="265"/>
      <c r="C6" s="265"/>
    </row>
    <row r="7" spans="1:3" ht="49.5" customHeight="1">
      <c r="A7" s="112" t="s">
        <v>419</v>
      </c>
      <c r="B7" s="112" t="s">
        <v>402</v>
      </c>
      <c r="C7" s="112" t="s">
        <v>281</v>
      </c>
    </row>
    <row r="8" spans="1:3" ht="44.25" customHeight="1">
      <c r="A8" s="108" t="s">
        <v>403</v>
      </c>
      <c r="B8" s="94" t="s">
        <v>412</v>
      </c>
      <c r="C8" s="109" t="s">
        <v>404</v>
      </c>
    </row>
    <row r="9" spans="1:3" ht="56.25">
      <c r="A9" s="262" t="s">
        <v>405</v>
      </c>
      <c r="B9" s="266" t="s">
        <v>413</v>
      </c>
      <c r="C9" s="109" t="s">
        <v>406</v>
      </c>
    </row>
    <row r="10" spans="1:3" ht="81" customHeight="1">
      <c r="A10" s="262"/>
      <c r="B10" s="266"/>
      <c r="C10" s="109" t="s">
        <v>407</v>
      </c>
    </row>
    <row r="11" spans="1:3" ht="57.75" customHeight="1">
      <c r="A11" s="108" t="s">
        <v>408</v>
      </c>
      <c r="B11" s="94" t="s">
        <v>414</v>
      </c>
      <c r="C11" s="109" t="s">
        <v>409</v>
      </c>
    </row>
    <row r="12" spans="1:3" ht="57" customHeight="1">
      <c r="A12" s="262" t="s">
        <v>410</v>
      </c>
      <c r="B12" s="261" t="s">
        <v>411</v>
      </c>
      <c r="C12" s="110" t="s">
        <v>265</v>
      </c>
    </row>
    <row r="13" spans="1:3" ht="75" customHeight="1">
      <c r="A13" s="262"/>
      <c r="B13" s="261"/>
      <c r="C13" s="109" t="s">
        <v>267</v>
      </c>
    </row>
    <row r="14" spans="1:3" ht="54.75" customHeight="1">
      <c r="A14" s="262" t="s">
        <v>410</v>
      </c>
      <c r="B14" s="261" t="s">
        <v>268</v>
      </c>
      <c r="C14" s="110" t="s">
        <v>269</v>
      </c>
    </row>
    <row r="15" spans="1:3" ht="87.75" customHeight="1">
      <c r="A15" s="262"/>
      <c r="B15" s="261"/>
      <c r="C15" s="109" t="s">
        <v>267</v>
      </c>
    </row>
    <row r="16" spans="1:3" ht="54.75" customHeight="1">
      <c r="A16" s="262" t="s">
        <v>270</v>
      </c>
      <c r="B16" s="263" t="s">
        <v>418</v>
      </c>
      <c r="C16" s="109" t="s">
        <v>269</v>
      </c>
    </row>
    <row r="17" spans="1:3" ht="72.75" customHeight="1">
      <c r="A17" s="262"/>
      <c r="B17" s="263"/>
      <c r="C17" s="109" t="s">
        <v>407</v>
      </c>
    </row>
    <row r="18" spans="1:3" ht="45.75" customHeight="1">
      <c r="A18" s="108" t="s">
        <v>271</v>
      </c>
      <c r="B18" s="95" t="s">
        <v>272</v>
      </c>
      <c r="C18" s="109" t="s">
        <v>409</v>
      </c>
    </row>
    <row r="19" spans="1:3" ht="62.25" customHeight="1">
      <c r="A19" s="262" t="s">
        <v>273</v>
      </c>
      <c r="B19" s="263" t="s">
        <v>274</v>
      </c>
      <c r="C19" s="109" t="s">
        <v>269</v>
      </c>
    </row>
    <row r="20" spans="1:3" ht="75">
      <c r="A20" s="262"/>
      <c r="B20" s="263"/>
      <c r="C20" s="109" t="s">
        <v>407</v>
      </c>
    </row>
    <row r="21" spans="1:3" ht="37.5" hidden="1">
      <c r="A21" s="108" t="s">
        <v>275</v>
      </c>
      <c r="B21" s="95" t="s">
        <v>276</v>
      </c>
      <c r="C21" s="109"/>
    </row>
    <row r="22" spans="1:3" ht="18.75" hidden="1">
      <c r="A22" s="108"/>
      <c r="B22" s="96" t="s">
        <v>277</v>
      </c>
      <c r="C22" s="109"/>
    </row>
    <row r="23" spans="1:3" ht="56.25" hidden="1">
      <c r="A23" s="108"/>
      <c r="B23" s="97" t="s">
        <v>278</v>
      </c>
      <c r="C23" s="109" t="s">
        <v>279</v>
      </c>
    </row>
    <row r="24" spans="1:3" ht="56.25" hidden="1">
      <c r="A24" s="108"/>
      <c r="B24" s="97" t="s">
        <v>280</v>
      </c>
      <c r="C24" s="109" t="s">
        <v>279</v>
      </c>
    </row>
    <row r="25" spans="1:3" ht="37.5" hidden="1">
      <c r="A25" s="108"/>
      <c r="B25" s="97" t="s">
        <v>511</v>
      </c>
      <c r="C25" s="109" t="s">
        <v>512</v>
      </c>
    </row>
    <row r="26" spans="1:3" ht="21.75" customHeight="1" hidden="1">
      <c r="A26" s="108"/>
      <c r="B26" s="97" t="s">
        <v>277</v>
      </c>
      <c r="C26" s="109"/>
    </row>
    <row r="27" spans="1:3" ht="75" hidden="1">
      <c r="A27" s="108"/>
      <c r="B27" s="96" t="s">
        <v>513</v>
      </c>
      <c r="C27" s="109" t="s">
        <v>514</v>
      </c>
    </row>
    <row r="28" spans="1:3" ht="120.75" customHeight="1" hidden="1">
      <c r="A28" s="108"/>
      <c r="B28" s="96" t="s">
        <v>515</v>
      </c>
      <c r="C28" s="109" t="s">
        <v>516</v>
      </c>
    </row>
    <row r="29" spans="1:3" ht="60.75" customHeight="1" hidden="1">
      <c r="A29" s="108"/>
      <c r="B29" s="97" t="s">
        <v>517</v>
      </c>
      <c r="C29" s="109" t="s">
        <v>518</v>
      </c>
    </row>
    <row r="30" spans="1:3" ht="80.25" customHeight="1" hidden="1">
      <c r="A30" s="108"/>
      <c r="B30" s="97" t="s">
        <v>519</v>
      </c>
      <c r="C30" s="109" t="s">
        <v>516</v>
      </c>
    </row>
    <row r="31" spans="1:3" ht="56.25" hidden="1">
      <c r="A31" s="108"/>
      <c r="B31" s="98" t="s">
        <v>520</v>
      </c>
      <c r="C31" s="109" t="s">
        <v>521</v>
      </c>
    </row>
    <row r="32" spans="1:3" ht="56.25" hidden="1">
      <c r="A32" s="108"/>
      <c r="B32" s="99" t="s">
        <v>522</v>
      </c>
      <c r="C32" s="109" t="s">
        <v>523</v>
      </c>
    </row>
    <row r="33" spans="1:3" ht="93.75" hidden="1">
      <c r="A33" s="108"/>
      <c r="B33" s="99" t="s">
        <v>525</v>
      </c>
      <c r="C33" s="111" t="s">
        <v>526</v>
      </c>
    </row>
    <row r="34" spans="1:3" ht="75" hidden="1">
      <c r="A34" s="108" t="s">
        <v>527</v>
      </c>
      <c r="B34" s="95" t="s">
        <v>417</v>
      </c>
      <c r="C34" s="109" t="s">
        <v>512</v>
      </c>
    </row>
    <row r="35" spans="1:4" ht="55.5" customHeight="1">
      <c r="A35" s="108" t="s">
        <v>528</v>
      </c>
      <c r="B35" s="260" t="s">
        <v>529</v>
      </c>
      <c r="C35" s="110" t="s">
        <v>269</v>
      </c>
      <c r="D35" s="100"/>
    </row>
    <row r="36" spans="1:4" ht="81" customHeight="1">
      <c r="A36" s="108" t="s">
        <v>530</v>
      </c>
      <c r="B36" s="261"/>
      <c r="C36" s="109" t="s">
        <v>267</v>
      </c>
      <c r="D36" s="101"/>
    </row>
    <row r="37" spans="1:4" ht="65.25" customHeight="1">
      <c r="A37" s="102"/>
      <c r="B37" s="103"/>
      <c r="C37" s="104"/>
      <c r="D37" s="105"/>
    </row>
    <row r="38" spans="1:12" s="8" customFormat="1" ht="12.75" customHeight="1">
      <c r="A38" s="25" t="s">
        <v>531</v>
      </c>
      <c r="B38" s="26"/>
      <c r="C38" s="117" t="s">
        <v>532</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18" activePane="bottomRight" state="frozen"/>
      <selection pane="topLeft" activeCell="A4" sqref="A4"/>
      <selection pane="topRight" activeCell="D4" sqref="D4"/>
      <selection pane="bottomLeft" activeCell="A7" sqref="A7"/>
      <selection pane="bottomRight" activeCell="L4" sqref="L1:X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bestFit="1" customWidth="1"/>
    <col min="26" max="16384" width="9.33203125" style="128" customWidth="1"/>
  </cols>
  <sheetData>
    <row r="1" spans="1:11" ht="26.25" customHeight="1">
      <c r="A1" s="267" t="s">
        <v>133</v>
      </c>
      <c r="B1" s="267"/>
      <c r="C1" s="267"/>
      <c r="D1" s="267"/>
      <c r="E1" s="267"/>
      <c r="F1" s="267"/>
      <c r="G1" s="267"/>
      <c r="H1" s="267"/>
      <c r="I1" s="190"/>
      <c r="J1" s="190"/>
      <c r="K1" s="190"/>
    </row>
    <row r="2" spans="1:11" ht="28.5" customHeight="1">
      <c r="A2" s="268" t="s">
        <v>134</v>
      </c>
      <c r="B2" s="268"/>
      <c r="C2" s="268"/>
      <c r="D2" s="268"/>
      <c r="E2" s="268"/>
      <c r="F2" s="268"/>
      <c r="G2" s="268"/>
      <c r="H2" s="268"/>
      <c r="I2" s="191"/>
      <c r="J2" s="191"/>
      <c r="K2" s="191"/>
    </row>
    <row r="3" spans="3:11" ht="18.75">
      <c r="C3" s="146"/>
      <c r="D3" s="129"/>
      <c r="E3" s="147"/>
      <c r="G3" s="148" t="s">
        <v>135</v>
      </c>
      <c r="J3" s="208"/>
      <c r="K3" s="211"/>
    </row>
    <row r="4" spans="1:20" ht="18.75">
      <c r="A4" s="271" t="s">
        <v>125</v>
      </c>
      <c r="B4" s="156"/>
      <c r="C4" s="271" t="s">
        <v>127</v>
      </c>
      <c r="D4" s="270" t="s">
        <v>128</v>
      </c>
      <c r="E4" s="270" t="s">
        <v>421</v>
      </c>
      <c r="F4" s="270" t="s">
        <v>422</v>
      </c>
      <c r="G4" s="132" t="s">
        <v>426</v>
      </c>
      <c r="H4" s="269" t="s">
        <v>92</v>
      </c>
      <c r="I4" s="269" t="s">
        <v>524</v>
      </c>
      <c r="J4" s="272" t="s">
        <v>142</v>
      </c>
      <c r="K4" s="212"/>
      <c r="R4" s="184" t="s">
        <v>368</v>
      </c>
      <c r="S4" s="180" t="s">
        <v>369</v>
      </c>
      <c r="T4" s="182" t="s">
        <v>370</v>
      </c>
    </row>
    <row r="5" spans="1:24" ht="75.75" customHeight="1">
      <c r="A5" s="271"/>
      <c r="B5" s="9" t="s">
        <v>126</v>
      </c>
      <c r="C5" s="271"/>
      <c r="D5" s="270"/>
      <c r="E5" s="270"/>
      <c r="F5" s="270"/>
      <c r="G5" s="149" t="s">
        <v>435</v>
      </c>
      <c r="H5" s="269"/>
      <c r="I5" s="269"/>
      <c r="J5" s="273"/>
      <c r="K5" s="219"/>
      <c r="L5" s="159" t="s">
        <v>143</v>
      </c>
      <c r="M5" s="186" t="s">
        <v>357</v>
      </c>
      <c r="N5" s="186" t="s">
        <v>358</v>
      </c>
      <c r="O5" s="186" t="s">
        <v>359</v>
      </c>
      <c r="P5" s="186" t="s">
        <v>360</v>
      </c>
      <c r="Q5" s="186" t="s">
        <v>361</v>
      </c>
      <c r="R5" s="186" t="s">
        <v>362</v>
      </c>
      <c r="S5" s="186" t="s">
        <v>363</v>
      </c>
      <c r="T5" s="186" t="s">
        <v>364</v>
      </c>
      <c r="U5" s="186" t="s">
        <v>365</v>
      </c>
      <c r="V5" s="186" t="s">
        <v>366</v>
      </c>
      <c r="W5" s="186" t="s">
        <v>367</v>
      </c>
      <c r="X5" s="186" t="s">
        <v>423</v>
      </c>
    </row>
    <row r="6" spans="1:12" s="131" customFormat="1" ht="25.5" customHeight="1">
      <c r="A6" s="274" t="s">
        <v>136</v>
      </c>
      <c r="B6" s="275"/>
      <c r="C6" s="275"/>
      <c r="D6" s="275"/>
      <c r="E6" s="275"/>
      <c r="F6" s="275"/>
      <c r="G6" s="275"/>
      <c r="H6" s="275"/>
      <c r="I6" s="278"/>
      <c r="J6" s="279"/>
      <c r="K6" s="213"/>
      <c r="L6" s="228"/>
    </row>
    <row r="7" spans="1:24" ht="37.5" customHeight="1">
      <c r="A7" s="150">
        <v>1</v>
      </c>
      <c r="B7" s="169"/>
      <c r="C7" s="151" t="s">
        <v>137</v>
      </c>
      <c r="D7" s="152">
        <f>D8+D16</f>
        <v>42011784.36</v>
      </c>
      <c r="E7" s="152">
        <f>E8+E16</f>
        <v>15500000</v>
      </c>
      <c r="F7" s="152">
        <f>F8+F16</f>
        <v>26511784.360000003</v>
      </c>
      <c r="G7" s="152">
        <f>G8+G16</f>
        <v>22793010.71</v>
      </c>
      <c r="H7" s="175">
        <f>H8+H16</f>
        <v>17143877.78</v>
      </c>
      <c r="I7" s="175">
        <f>I9+I12</f>
        <v>6605140.68</v>
      </c>
      <c r="J7" s="227">
        <f aca="true" t="shared" si="0" ref="J7:J14">H7/(M7+N7+O7+P7+Q7+R7+S7+T7+U7)*100</f>
        <v>44.09194921839072</v>
      </c>
      <c r="K7" s="218"/>
      <c r="L7" s="220">
        <f aca="true" t="shared" si="1" ref="L7:L15">M7+N7+O7+P7+Q7+R7+S7+T7+U7-H7</f>
        <v>21738226.739999995</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13085180.79</v>
      </c>
      <c r="U7" s="152">
        <f t="shared" si="2"/>
        <v>6295261.21</v>
      </c>
      <c r="V7" s="152">
        <f t="shared" si="2"/>
        <v>2400000</v>
      </c>
      <c r="W7" s="152">
        <f t="shared" si="2"/>
        <v>729679.8400000001</v>
      </c>
      <c r="X7" s="152">
        <f>X8+X16</f>
        <v>42011784.36</v>
      </c>
    </row>
    <row r="8" spans="1:24" ht="18.75">
      <c r="A8" s="133" t="s">
        <v>129</v>
      </c>
      <c r="B8" s="134"/>
      <c r="C8" s="153" t="s">
        <v>138</v>
      </c>
      <c r="D8" s="154">
        <f>D9+D13+D14+D12+D15</f>
        <v>17350000</v>
      </c>
      <c r="E8" s="154">
        <f>E9+E13+E14+E12+E15</f>
        <v>15500000</v>
      </c>
      <c r="F8" s="154">
        <f>F9+F13+F14+F12+F15</f>
        <v>1850000</v>
      </c>
      <c r="G8" s="154"/>
      <c r="H8" s="154">
        <f>H9+H13+H14+H12+H15</f>
        <v>8416708.24</v>
      </c>
      <c r="I8" s="203"/>
      <c r="J8" s="214">
        <f t="shared" si="0"/>
        <v>56.29905177257525</v>
      </c>
      <c r="K8" s="215"/>
      <c r="L8" s="220">
        <f t="shared" si="1"/>
        <v>6533291.76</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266</v>
      </c>
      <c r="D9" s="155">
        <f>F9+E9</f>
        <v>4200000</v>
      </c>
      <c r="E9" s="155">
        <v>2500000</v>
      </c>
      <c r="F9" s="155">
        <v>1700000</v>
      </c>
      <c r="G9" s="156"/>
      <c r="H9" s="204">
        <f>145975.7+110885.5+10080+85250+418006.2+59549+45060.24+257580+19173.6+27739.2+228900+128332.85+24200+90350+637477.5+41115.6+3379.2+164649.5+344569.5+247500+42901+262819.24+109322</f>
        <v>3504815.83</v>
      </c>
      <c r="I9" s="222">
        <f>637477.5+3379.2+164649.5+344569.5+247500+42901+262819.24+109322</f>
        <v>1812617.94</v>
      </c>
      <c r="J9" s="209">
        <f t="shared" si="0"/>
        <v>83.44799595238095</v>
      </c>
      <c r="K9" s="216"/>
      <c r="L9" s="221">
        <f>M9+N9+O9+P9+Q9+R9+S9+T9+U9-H9</f>
        <v>695184.1699999999</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139</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199</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140</v>
      </c>
      <c r="D12" s="155">
        <f>E12</f>
        <v>12495000</v>
      </c>
      <c r="E12" s="155">
        <f>3500000+500000+6700000+1795000</f>
        <v>12495000</v>
      </c>
      <c r="F12" s="155"/>
      <c r="G12" s="156"/>
      <c r="H12" s="204">
        <f>241334.4+64578+48081+278935+170139+140867+147553+370203.6+242397.78+441136.8+89824.64+66290+315369.24+177057.6+73078.99+327937.2+193947+183970.32+540163.2+305557+89489+284612.97</f>
        <v>4792522.74</v>
      </c>
      <c r="I12" s="204">
        <f>H12</f>
        <v>4792522.74</v>
      </c>
      <c r="J12" s="209">
        <f t="shared" si="0"/>
        <v>47.47422228826152</v>
      </c>
      <c r="K12" s="216"/>
      <c r="L12" s="221">
        <f t="shared" si="1"/>
        <v>5302477.26</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141</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187</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200</v>
      </c>
      <c r="D15" s="155">
        <f>E15</f>
        <v>505000</v>
      </c>
      <c r="E15" s="136">
        <v>505000</v>
      </c>
      <c r="F15" s="155"/>
      <c r="G15" s="156"/>
      <c r="H15" s="204">
        <v>0</v>
      </c>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130</v>
      </c>
      <c r="B16" s="134"/>
      <c r="C16" s="159" t="s">
        <v>188</v>
      </c>
      <c r="D16" s="154">
        <f>SUM(D17:D37)</f>
        <v>24661784.360000003</v>
      </c>
      <c r="E16" s="154"/>
      <c r="F16" s="154">
        <f>SUM(F17:F37)</f>
        <v>24661784.360000003</v>
      </c>
      <c r="G16" s="154">
        <f>SUM(G17:G37)</f>
        <v>22793010.71</v>
      </c>
      <c r="H16" s="154">
        <f>SUM(H17:H37)</f>
        <v>8727169.54</v>
      </c>
      <c r="I16" s="203"/>
      <c r="J16" s="214">
        <f>H16/(M16+N16+O16+P16+Q16+R16+S16+T16+U16)*100</f>
        <v>36.46636898441892</v>
      </c>
      <c r="K16" s="215"/>
      <c r="L16" s="220">
        <f>M16+N16+O16+P16+Q16+R16+S16+T16+U16-H16</f>
        <v>15204934.98</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8735180.79</v>
      </c>
      <c r="U16" s="154">
        <f>SUM(U17:U37)</f>
        <v>1995261.21</v>
      </c>
      <c r="V16" s="154">
        <f>SUM(V17:V37)</f>
        <v>600000</v>
      </c>
      <c r="W16" s="154">
        <f>SUM(W17:W37)</f>
        <v>129679.84000000003</v>
      </c>
      <c r="X16" s="154">
        <f>SUM(X17:X37)</f>
        <v>24661784.360000003</v>
      </c>
    </row>
    <row r="17" spans="1:24" ht="18.75">
      <c r="A17" s="133"/>
      <c r="B17" s="134"/>
      <c r="C17" s="137" t="s">
        <v>319</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191</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371</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320</v>
      </c>
      <c r="D20" s="160">
        <f t="shared" si="6"/>
        <v>1004077.15</v>
      </c>
      <c r="E20" s="130"/>
      <c r="F20" s="155">
        <f t="shared" si="7"/>
        <v>1004077.15</v>
      </c>
      <c r="G20" s="155">
        <f>44077.15+780000+180000</f>
        <v>1004077.15</v>
      </c>
      <c r="H20" s="204">
        <f>44077.15+767334.35+82605.77+58288</f>
        <v>952305.27</v>
      </c>
      <c r="I20" s="222"/>
      <c r="J20" s="209">
        <f t="shared" si="8"/>
        <v>94.84383446033007</v>
      </c>
      <c r="K20" s="216"/>
      <c r="L20" s="221">
        <f t="shared" si="9"/>
        <v>51771.880000000005</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321</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322</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323</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189</v>
      </c>
      <c r="D24" s="160">
        <f t="shared" si="6"/>
        <v>100000</v>
      </c>
      <c r="E24" s="187"/>
      <c r="F24" s="160">
        <f t="shared" si="7"/>
        <v>100000</v>
      </c>
      <c r="G24" s="172">
        <v>100000</v>
      </c>
      <c r="H24" s="206"/>
      <c r="I24" s="229"/>
      <c r="J24" s="209"/>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190</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324</v>
      </c>
      <c r="D26" s="160">
        <f t="shared" si="6"/>
        <v>1215000</v>
      </c>
      <c r="E26" s="187"/>
      <c r="F26" s="160">
        <f t="shared" si="7"/>
        <v>1215000</v>
      </c>
      <c r="G26" s="172">
        <f>1100000+115000</f>
        <v>1215000</v>
      </c>
      <c r="H26" s="206">
        <f>734925.13+339393+18811.97+220+110967+1995.49</f>
        <v>1206312.5899999999</v>
      </c>
      <c r="I26" s="229"/>
      <c r="J26" s="209">
        <f t="shared" si="8"/>
        <v>99.28498683127572</v>
      </c>
      <c r="K26" s="216"/>
      <c r="L26" s="221">
        <f>M26+N26+O26+P26+Q26+R26+S26+T26+U26-H26</f>
        <v>8687.410000000149</v>
      </c>
      <c r="M26" s="197"/>
      <c r="N26" s="173"/>
      <c r="O26" s="173"/>
      <c r="P26" s="173">
        <v>400000</v>
      </c>
      <c r="Q26" s="173">
        <v>350000</v>
      </c>
      <c r="R26" s="173">
        <v>350000</v>
      </c>
      <c r="S26" s="173"/>
      <c r="T26" s="173"/>
      <c r="U26" s="173">
        <f>115000</f>
        <v>115000</v>
      </c>
      <c r="V26" s="173"/>
      <c r="W26" s="173"/>
      <c r="X26" s="182">
        <f t="shared" si="4"/>
        <v>1215000</v>
      </c>
    </row>
    <row r="27" spans="1:24" s="131" customFormat="1" ht="37.5">
      <c r="A27" s="170"/>
      <c r="B27" s="171"/>
      <c r="C27" s="137" t="s">
        <v>325</v>
      </c>
      <c r="D27" s="160">
        <f t="shared" si="6"/>
        <v>129679.84000000003</v>
      </c>
      <c r="E27" s="187"/>
      <c r="F27" s="160">
        <f t="shared" si="7"/>
        <v>129679.84000000003</v>
      </c>
      <c r="G27" s="172">
        <f>500000-370320.16</f>
        <v>129679.84000000003</v>
      </c>
      <c r="H27" s="206"/>
      <c r="I27" s="229"/>
      <c r="J27" s="209"/>
      <c r="K27" s="216"/>
      <c r="L27" s="221">
        <f t="shared" si="9"/>
        <v>0</v>
      </c>
      <c r="M27" s="197"/>
      <c r="N27" s="173"/>
      <c r="O27" s="173"/>
      <c r="P27" s="173"/>
      <c r="Q27" s="173"/>
      <c r="R27" s="173"/>
      <c r="S27" s="173">
        <v>76000</v>
      </c>
      <c r="T27" s="173">
        <f>-76000</f>
        <v>-76000</v>
      </c>
      <c r="U27" s="173"/>
      <c r="V27" s="173"/>
      <c r="W27" s="173">
        <f>424000-294320.16</f>
        <v>129679.84000000003</v>
      </c>
      <c r="X27" s="182">
        <f t="shared" si="4"/>
        <v>129679.84000000003</v>
      </c>
    </row>
    <row r="28" spans="1:24" s="131" customFormat="1" ht="37.5">
      <c r="A28" s="170"/>
      <c r="B28" s="171"/>
      <c r="C28" s="137" t="s">
        <v>201</v>
      </c>
      <c r="D28" s="160">
        <f t="shared" si="6"/>
        <v>130529</v>
      </c>
      <c r="E28" s="187"/>
      <c r="F28" s="160">
        <f t="shared" si="7"/>
        <v>130529</v>
      </c>
      <c r="G28" s="160">
        <f>60000+70529</f>
        <v>130529</v>
      </c>
      <c r="H28" s="206">
        <f>74843</f>
        <v>74843</v>
      </c>
      <c r="I28" s="229"/>
      <c r="J28" s="209">
        <f t="shared" si="8"/>
        <v>57.33821602862199</v>
      </c>
      <c r="K28" s="216"/>
      <c r="L28" s="221">
        <f t="shared" si="9"/>
        <v>55686</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193</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326</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198</v>
      </c>
      <c r="D31" s="160">
        <f t="shared" si="6"/>
        <v>1145000</v>
      </c>
      <c r="E31" s="187"/>
      <c r="F31" s="160">
        <f t="shared" si="7"/>
        <v>1145000</v>
      </c>
      <c r="G31" s="172">
        <f>1120000+25000</f>
        <v>1145000</v>
      </c>
      <c r="H31" s="206">
        <f>23495.13+895000+80990.45+91699+1607.68</f>
        <v>1092792.26</v>
      </c>
      <c r="I31" s="229"/>
      <c r="J31" s="209">
        <f t="shared" si="8"/>
        <v>95.44037205240174</v>
      </c>
      <c r="K31" s="216"/>
      <c r="L31" s="221">
        <f t="shared" si="9"/>
        <v>52207.73999999999</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194</v>
      </c>
      <c r="D32" s="160">
        <f t="shared" si="6"/>
        <v>600000</v>
      </c>
      <c r="E32" s="160"/>
      <c r="F32" s="160">
        <f t="shared" si="7"/>
        <v>600000</v>
      </c>
      <c r="G32" s="172">
        <v>600000</v>
      </c>
      <c r="H32" s="155"/>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202</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203</v>
      </c>
      <c r="D34" s="160">
        <f t="shared" si="6"/>
        <v>1300000</v>
      </c>
      <c r="E34" s="160"/>
      <c r="F34" s="160">
        <f t="shared" si="7"/>
        <v>1300000</v>
      </c>
      <c r="G34" s="172">
        <v>1300000</v>
      </c>
      <c r="H34" s="155">
        <f>575000</f>
        <v>575000</v>
      </c>
      <c r="I34" s="229"/>
      <c r="J34" s="209">
        <f>H34/(M34+N34+O34+P34+Q34+R34+S34+T34+U34)*100</f>
        <v>44.230769230769226</v>
      </c>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204</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166</v>
      </c>
      <c r="D36" s="160">
        <f t="shared" si="6"/>
        <v>1200000</v>
      </c>
      <c r="E36" s="160"/>
      <c r="F36" s="160">
        <f t="shared" si="7"/>
        <v>1200000</v>
      </c>
      <c r="G36" s="172">
        <v>1200000</v>
      </c>
      <c r="H36" s="155">
        <f>716400</f>
        <v>716400</v>
      </c>
      <c r="I36" s="229"/>
      <c r="J36" s="209">
        <f>H36/(M36+N36+O36+P36+Q36+R36+S36+T36+U36)*100</f>
        <v>59.699999999999996</v>
      </c>
      <c r="K36" s="216"/>
      <c r="L36" s="221">
        <f t="shared" si="9"/>
        <v>483600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205</v>
      </c>
      <c r="D37" s="160">
        <f t="shared" si="6"/>
        <v>400000</v>
      </c>
      <c r="E37" s="160"/>
      <c r="F37" s="160">
        <f t="shared" si="7"/>
        <v>400000</v>
      </c>
      <c r="G37" s="172">
        <v>400000</v>
      </c>
      <c r="H37" s="155">
        <f>17000+279000</f>
        <v>296000</v>
      </c>
      <c r="I37" s="229"/>
      <c r="J37" s="209">
        <f>H37/(M37+N37+O37+P37+Q37+R37+S37+T37+U37)*100</f>
        <v>74</v>
      </c>
      <c r="K37" s="216"/>
      <c r="L37" s="221">
        <f t="shared" si="9"/>
        <v>104000</v>
      </c>
      <c r="M37" s="173"/>
      <c r="N37" s="173"/>
      <c r="O37" s="173"/>
      <c r="P37" s="173"/>
      <c r="Q37" s="173"/>
      <c r="R37" s="173"/>
      <c r="S37" s="173"/>
      <c r="T37" s="173">
        <v>400000</v>
      </c>
      <c r="U37" s="173"/>
      <c r="V37" s="173"/>
      <c r="W37" s="173"/>
      <c r="X37" s="182">
        <f t="shared" si="4"/>
        <v>400000</v>
      </c>
    </row>
    <row r="38" spans="1:24" s="131" customFormat="1" ht="27.75" customHeight="1">
      <c r="A38" s="274" t="s">
        <v>195</v>
      </c>
      <c r="B38" s="275"/>
      <c r="C38" s="275"/>
      <c r="D38" s="275"/>
      <c r="E38" s="275"/>
      <c r="F38" s="275"/>
      <c r="G38" s="275"/>
      <c r="H38" s="275"/>
      <c r="I38" s="275"/>
      <c r="J38" s="276"/>
      <c r="K38" s="216"/>
      <c r="L38" s="221"/>
      <c r="M38" s="231"/>
      <c r="N38" s="231"/>
      <c r="O38" s="231"/>
      <c r="P38" s="231"/>
      <c r="Q38" s="231"/>
      <c r="R38" s="231"/>
      <c r="S38" s="231"/>
      <c r="T38" s="231"/>
      <c r="U38" s="231"/>
      <c r="V38" s="231"/>
      <c r="W38" s="231"/>
      <c r="X38" s="182"/>
    </row>
    <row r="39" spans="1:24" s="131" customFormat="1" ht="27.75" customHeight="1">
      <c r="A39" s="150">
        <v>2</v>
      </c>
      <c r="B39" s="151"/>
      <c r="C39" s="161" t="s">
        <v>196</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131</v>
      </c>
      <c r="B40" s="168"/>
      <c r="C40" s="159" t="s">
        <v>188</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160</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137</v>
      </c>
      <c r="D42" s="152">
        <f>D43</f>
        <v>34856187.96</v>
      </c>
      <c r="E42" s="152"/>
      <c r="F42" s="152">
        <f>F43</f>
        <v>34856187.96</v>
      </c>
      <c r="G42" s="152">
        <f>G43</f>
        <v>34856187.96</v>
      </c>
      <c r="H42" s="175">
        <f>H43</f>
        <v>4210893.04</v>
      </c>
      <c r="I42" s="175"/>
      <c r="J42" s="227">
        <f>H42/(M42+N42+O42+P42+Q42+R42+S42+T42+U42)*100</f>
        <v>12.185641092339978</v>
      </c>
      <c r="K42" s="218"/>
      <c r="L42" s="220">
        <f>M42+N42+O42+P42+Q42+R42+S42+T42+U42-H42</f>
        <v>30345294.92</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7067000</v>
      </c>
      <c r="V42" s="175">
        <f t="shared" si="11"/>
        <v>300000</v>
      </c>
      <c r="W42" s="175">
        <f t="shared" si="11"/>
        <v>0</v>
      </c>
      <c r="X42" s="175">
        <f t="shared" si="11"/>
        <v>34856187.96</v>
      </c>
    </row>
    <row r="43" spans="1:25" s="131" customFormat="1" ht="26.25" customHeight="1">
      <c r="A43" s="133" t="s">
        <v>132</v>
      </c>
      <c r="B43" s="159" t="s">
        <v>188</v>
      </c>
      <c r="C43" s="159" t="s">
        <v>188</v>
      </c>
      <c r="D43" s="163">
        <f>SUM(D44:D85)</f>
        <v>34856187.96</v>
      </c>
      <c r="E43" s="163"/>
      <c r="F43" s="163">
        <f>SUM(F44:F85)</f>
        <v>34856187.96</v>
      </c>
      <c r="G43" s="163">
        <f>SUM(G44:G85)</f>
        <v>34856187.96</v>
      </c>
      <c r="H43" s="177">
        <f>SUM(H44:H85)</f>
        <v>4210893.04</v>
      </c>
      <c r="I43" s="225"/>
      <c r="J43" s="214">
        <f>H43/(M43+N43+O43+P43+Q43+R43+S43+T43+U43)*100</f>
        <v>12.185641092339978</v>
      </c>
      <c r="K43" s="217"/>
      <c r="L43" s="220">
        <f>M43+N43+O43+P43+Q43+R43+S43+T43+U43-H43</f>
        <v>30345294.92</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SUM(U44:U85)</f>
        <v>7067000</v>
      </c>
      <c r="V43" s="177">
        <f t="shared" si="12"/>
        <v>300000</v>
      </c>
      <c r="W43" s="177">
        <f t="shared" si="12"/>
        <v>0</v>
      </c>
      <c r="X43" s="177">
        <f>SUM(X44:X85)</f>
        <v>34856187.96</v>
      </c>
      <c r="Y43" s="232">
        <f>D43-X43</f>
        <v>0</v>
      </c>
    </row>
    <row r="44" spans="1:25" s="131" customFormat="1" ht="37.5">
      <c r="A44" s="133"/>
      <c r="B44" s="159"/>
      <c r="C44" s="137" t="s">
        <v>327</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2">
        <f aca="true" t="shared" si="15" ref="Y44:Y85">D44-X44</f>
        <v>0</v>
      </c>
    </row>
    <row r="45" spans="1:25" s="131" customFormat="1" ht="37.5">
      <c r="A45" s="133"/>
      <c r="B45" s="159"/>
      <c r="C45" s="137" t="s">
        <v>328</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32">
        <f t="shared" si="15"/>
        <v>0</v>
      </c>
    </row>
    <row r="46" spans="1:25" s="131" customFormat="1" ht="37.5">
      <c r="A46" s="133"/>
      <c r="B46" s="159"/>
      <c r="C46" s="137" t="s">
        <v>180</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2">
        <f t="shared" si="15"/>
        <v>0</v>
      </c>
    </row>
    <row r="47" spans="1:25" s="131" customFormat="1" ht="37.5">
      <c r="A47" s="133"/>
      <c r="B47" s="159"/>
      <c r="C47" s="137" t="s">
        <v>181</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2">
        <f t="shared" si="15"/>
        <v>0</v>
      </c>
    </row>
    <row r="48" spans="1:25" s="131" customFormat="1" ht="37.5">
      <c r="A48" s="133"/>
      <c r="B48" s="159"/>
      <c r="C48" s="137" t="s">
        <v>182</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2">
        <f t="shared" si="15"/>
        <v>0</v>
      </c>
    </row>
    <row r="49" spans="1:25" s="131" customFormat="1" ht="37.5">
      <c r="A49" s="133"/>
      <c r="B49" s="159"/>
      <c r="C49" s="137" t="s">
        <v>329</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2">
        <f t="shared" si="15"/>
        <v>0</v>
      </c>
    </row>
    <row r="50" spans="1:25" s="131" customFormat="1" ht="27.75" customHeight="1">
      <c r="A50" s="133"/>
      <c r="B50" s="159"/>
      <c r="C50" s="137" t="s">
        <v>330</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2">
        <f t="shared" si="15"/>
        <v>0</v>
      </c>
    </row>
    <row r="51" spans="1:25" s="131" customFormat="1" ht="37.5">
      <c r="A51" s="133"/>
      <c r="B51" s="159"/>
      <c r="C51" s="137" t="s">
        <v>183</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2">
        <f t="shared" si="15"/>
        <v>0</v>
      </c>
    </row>
    <row r="52" spans="1:25" s="131" customFormat="1" ht="37.5" customHeight="1">
      <c r="A52" s="133"/>
      <c r="B52" s="159"/>
      <c r="C52" s="137" t="s">
        <v>184</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2">
        <f t="shared" si="15"/>
        <v>0</v>
      </c>
    </row>
    <row r="53" spans="1:25" s="131" customFormat="1" ht="37.5" customHeight="1">
      <c r="A53" s="133"/>
      <c r="B53" s="159"/>
      <c r="C53" s="137" t="s">
        <v>331</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32">
        <f t="shared" si="15"/>
        <v>0</v>
      </c>
    </row>
    <row r="54" spans="1:25" s="131" customFormat="1" ht="37.5" customHeight="1">
      <c r="A54" s="133"/>
      <c r="B54" s="159"/>
      <c r="C54" s="137" t="s">
        <v>185</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2">
        <f t="shared" si="15"/>
        <v>0</v>
      </c>
    </row>
    <row r="55" spans="1:25" s="131" customFormat="1" ht="37.5" customHeight="1">
      <c r="A55" s="133"/>
      <c r="B55" s="159"/>
      <c r="C55" s="137" t="s">
        <v>332</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2">
        <f t="shared" si="15"/>
        <v>0</v>
      </c>
    </row>
    <row r="56" spans="1:25" s="226" customFormat="1" ht="60" customHeight="1">
      <c r="A56" s="133"/>
      <c r="B56" s="159"/>
      <c r="C56" s="137" t="s">
        <v>478</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2">
        <f t="shared" si="15"/>
        <v>0</v>
      </c>
    </row>
    <row r="57" spans="1:25" s="131" customFormat="1" ht="56.25" customHeight="1">
      <c r="A57" s="133"/>
      <c r="B57" s="159"/>
      <c r="C57" s="137" t="s">
        <v>333</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2">
        <f t="shared" si="15"/>
        <v>0</v>
      </c>
    </row>
    <row r="58" spans="1:25" s="131" customFormat="1" ht="37.5" customHeight="1">
      <c r="A58" s="133"/>
      <c r="B58" s="159"/>
      <c r="C58" s="137" t="s">
        <v>334</v>
      </c>
      <c r="D58" s="155">
        <f t="shared" si="13"/>
        <v>476293.05</v>
      </c>
      <c r="E58" s="155"/>
      <c r="F58" s="155">
        <f t="shared" si="14"/>
        <v>476293.05</v>
      </c>
      <c r="G58" s="155">
        <f>4193.05+2100+470000</f>
        <v>476293.05</v>
      </c>
      <c r="H58" s="204">
        <f>4193.05+2051.95+226060+233314.52</f>
        <v>465619.52</v>
      </c>
      <c r="I58" s="222"/>
      <c r="J58" s="209">
        <f t="shared" si="16"/>
        <v>97.75904141368429</v>
      </c>
      <c r="K58" s="216"/>
      <c r="L58" s="221">
        <f t="shared" si="17"/>
        <v>10673.52999999997</v>
      </c>
      <c r="M58" s="202">
        <v>4193.05</v>
      </c>
      <c r="N58" s="174"/>
      <c r="O58" s="174"/>
      <c r="P58" s="178">
        <v>2100</v>
      </c>
      <c r="Q58" s="174"/>
      <c r="R58" s="174"/>
      <c r="S58" s="174"/>
      <c r="T58" s="178">
        <v>470000</v>
      </c>
      <c r="U58" s="178"/>
      <c r="V58" s="178"/>
      <c r="W58" s="178"/>
      <c r="X58" s="182">
        <f t="shared" si="4"/>
        <v>476293.05</v>
      </c>
      <c r="Y58" s="232">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2">
        <f t="shared" si="15"/>
        <v>0</v>
      </c>
    </row>
    <row r="60" spans="1:25" s="131" customFormat="1" ht="26.25" customHeight="1">
      <c r="A60" s="138"/>
      <c r="B60" s="138"/>
      <c r="C60" s="137" t="s">
        <v>47</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32">
        <f t="shared" si="15"/>
        <v>0</v>
      </c>
    </row>
    <row r="61" spans="1:25" s="131" customFormat="1" ht="25.5" customHeight="1">
      <c r="A61" s="138"/>
      <c r="B61" s="138"/>
      <c r="C61" s="137" t="s">
        <v>206</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32">
        <f t="shared" si="15"/>
        <v>0</v>
      </c>
    </row>
    <row r="62" spans="1:25" s="131" customFormat="1" ht="18.75">
      <c r="A62" s="138"/>
      <c r="B62" s="138"/>
      <c r="C62" s="137" t="s">
        <v>335</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2">
        <f t="shared" si="15"/>
        <v>0</v>
      </c>
    </row>
    <row r="63" spans="1:25" s="131" customFormat="1" ht="37.5">
      <c r="A63" s="138"/>
      <c r="B63" s="138"/>
      <c r="C63" s="137" t="s">
        <v>336</v>
      </c>
      <c r="D63" s="155">
        <f t="shared" si="13"/>
        <v>1536186.2</v>
      </c>
      <c r="E63" s="155"/>
      <c r="F63" s="155">
        <f t="shared" si="14"/>
        <v>1536186.2</v>
      </c>
      <c r="G63" s="155">
        <f>100000+1121000+315186.2</f>
        <v>1536186.2</v>
      </c>
      <c r="H63" s="204">
        <f>1040.4+118154.1-118154.1+118154.1</f>
        <v>119194.5</v>
      </c>
      <c r="I63" s="222"/>
      <c r="J63" s="209">
        <f t="shared" si="16"/>
        <v>7.7591180027525315</v>
      </c>
      <c r="K63" s="216"/>
      <c r="L63" s="221">
        <f t="shared" si="17"/>
        <v>1416991.7</v>
      </c>
      <c r="M63" s="202"/>
      <c r="N63" s="178"/>
      <c r="O63" s="178"/>
      <c r="P63" s="178"/>
      <c r="Q63" s="178">
        <v>30000</v>
      </c>
      <c r="R63" s="178"/>
      <c r="S63" s="178">
        <v>70000</v>
      </c>
      <c r="T63" s="178">
        <v>1121000</v>
      </c>
      <c r="U63" s="178">
        <f>315186.2</f>
        <v>315186.2</v>
      </c>
      <c r="V63" s="178"/>
      <c r="W63" s="178"/>
      <c r="X63" s="182">
        <f t="shared" si="4"/>
        <v>1536186.2</v>
      </c>
      <c r="Y63" s="232">
        <f t="shared" si="15"/>
        <v>0</v>
      </c>
    </row>
    <row r="64" spans="1:25" s="131" customFormat="1" ht="37.5">
      <c r="A64" s="138"/>
      <c r="B64" s="138"/>
      <c r="C64" s="137" t="s">
        <v>337</v>
      </c>
      <c r="D64" s="155">
        <f t="shared" si="13"/>
        <v>1505280.2</v>
      </c>
      <c r="E64" s="155"/>
      <c r="F64" s="155">
        <f t="shared" si="14"/>
        <v>1505280.2</v>
      </c>
      <c r="G64" s="155">
        <f>100000+1481000-75719.8</f>
        <v>1505280.2</v>
      </c>
      <c r="H64" s="204">
        <f>1038+118724.46-118724.46+118724.46</f>
        <v>119762.46</v>
      </c>
      <c r="I64" s="222"/>
      <c r="J64" s="209">
        <f t="shared" si="16"/>
        <v>9.936482819513671</v>
      </c>
      <c r="K64" s="216"/>
      <c r="L64" s="221">
        <f t="shared" si="17"/>
        <v>1085517.74</v>
      </c>
      <c r="M64" s="202"/>
      <c r="N64" s="178"/>
      <c r="O64" s="178"/>
      <c r="P64" s="178"/>
      <c r="Q64" s="178">
        <v>29000</v>
      </c>
      <c r="R64" s="178"/>
      <c r="S64" s="178">
        <v>71000</v>
      </c>
      <c r="T64" s="178">
        <f>1481000-300000</f>
        <v>1181000</v>
      </c>
      <c r="U64" s="178">
        <f>-75719.8</f>
        <v>-75719.8</v>
      </c>
      <c r="V64" s="178">
        <v>300000</v>
      </c>
      <c r="W64" s="178"/>
      <c r="X64" s="182">
        <f t="shared" si="4"/>
        <v>1505280.2</v>
      </c>
      <c r="Y64" s="232">
        <f t="shared" si="15"/>
        <v>0</v>
      </c>
    </row>
    <row r="65" spans="1:25" s="131" customFormat="1" ht="37.5">
      <c r="A65" s="138"/>
      <c r="B65" s="138"/>
      <c r="C65" s="137" t="s">
        <v>338</v>
      </c>
      <c r="D65" s="155">
        <f t="shared" si="13"/>
        <v>4021130.6</v>
      </c>
      <c r="E65" s="155"/>
      <c r="F65" s="155">
        <f t="shared" si="14"/>
        <v>4021130.6</v>
      </c>
      <c r="G65" s="155">
        <f>100000+3641000+280130.6</f>
        <v>4021130.6</v>
      </c>
      <c r="H65" s="204">
        <f>1365.6+310558.86-310558.86+310558.86</f>
        <v>311924.45999999996</v>
      </c>
      <c r="I65" s="222"/>
      <c r="J65" s="209">
        <f t="shared" si="16"/>
        <v>7.757133279879046</v>
      </c>
      <c r="K65" s="216"/>
      <c r="L65" s="221">
        <f t="shared" si="17"/>
        <v>3709206.14</v>
      </c>
      <c r="M65" s="202"/>
      <c r="N65" s="178"/>
      <c r="O65" s="178"/>
      <c r="P65" s="178"/>
      <c r="Q65" s="178">
        <v>10000</v>
      </c>
      <c r="R65" s="178"/>
      <c r="S65" s="178">
        <f>90000+1820500</f>
        <v>1910500</v>
      </c>
      <c r="T65" s="178">
        <f>1820500</f>
        <v>1820500</v>
      </c>
      <c r="U65" s="178">
        <f>280130.6</f>
        <v>280130.6</v>
      </c>
      <c r="V65" s="178"/>
      <c r="W65" s="178"/>
      <c r="X65" s="182">
        <f t="shared" si="4"/>
        <v>4021130.6</v>
      </c>
      <c r="Y65" s="232">
        <f t="shared" si="15"/>
        <v>0</v>
      </c>
    </row>
    <row r="66" spans="1:25" s="131" customFormat="1" ht="37.5">
      <c r="A66" s="138"/>
      <c r="B66" s="138"/>
      <c r="C66" s="137" t="s">
        <v>339</v>
      </c>
      <c r="D66" s="155">
        <f t="shared" si="13"/>
        <v>1194002.8</v>
      </c>
      <c r="E66" s="155"/>
      <c r="F66" s="155">
        <f t="shared" si="14"/>
        <v>1194002.8</v>
      </c>
      <c r="G66" s="155">
        <f>100000+1526000-431997.2</f>
        <v>1194002.8</v>
      </c>
      <c r="H66" s="204">
        <f>1004.4+85848.54-85848.54+85848.54</f>
        <v>86852.93999999999</v>
      </c>
      <c r="I66" s="222"/>
      <c r="J66" s="209">
        <f t="shared" si="16"/>
        <v>7.274098519701963</v>
      </c>
      <c r="K66" s="216"/>
      <c r="L66" s="221">
        <f t="shared" si="17"/>
        <v>1107149.86</v>
      </c>
      <c r="M66" s="202"/>
      <c r="N66" s="178"/>
      <c r="O66" s="178"/>
      <c r="P66" s="178"/>
      <c r="Q66" s="178">
        <v>55000</v>
      </c>
      <c r="R66" s="178"/>
      <c r="S66" s="178">
        <v>45000</v>
      </c>
      <c r="T66" s="178">
        <v>1526000</v>
      </c>
      <c r="U66" s="178">
        <v>-431997.2</v>
      </c>
      <c r="V66" s="178"/>
      <c r="W66" s="178"/>
      <c r="X66" s="182">
        <f t="shared" si="4"/>
        <v>1194002.8</v>
      </c>
      <c r="Y66" s="232">
        <f t="shared" si="15"/>
        <v>0</v>
      </c>
    </row>
    <row r="67" spans="1:25" s="131" customFormat="1" ht="37.5">
      <c r="A67" s="138"/>
      <c r="B67" s="138"/>
      <c r="C67" s="137" t="s">
        <v>340</v>
      </c>
      <c r="D67" s="155">
        <f t="shared" si="13"/>
        <v>3058980.6</v>
      </c>
      <c r="E67" s="155"/>
      <c r="F67" s="155">
        <f t="shared" si="14"/>
        <v>3058980.6</v>
      </c>
      <c r="G67" s="155">
        <f>100000+2000000+2241000-1282019.4</f>
        <v>3058980.6</v>
      </c>
      <c r="H67" s="204">
        <f>1239.6+259794.12-259794.12+259794.12</f>
        <v>261033.72</v>
      </c>
      <c r="I67" s="222"/>
      <c r="J67" s="209">
        <f t="shared" si="16"/>
        <v>8.533356504451188</v>
      </c>
      <c r="K67" s="216"/>
      <c r="L67" s="221">
        <f t="shared" si="17"/>
        <v>2797946.88</v>
      </c>
      <c r="M67" s="202"/>
      <c r="N67" s="178"/>
      <c r="O67" s="178"/>
      <c r="P67" s="178"/>
      <c r="Q67" s="178">
        <v>20000</v>
      </c>
      <c r="R67" s="178"/>
      <c r="S67" s="178">
        <f>80000+1000000</f>
        <v>1080000</v>
      </c>
      <c r="T67" s="178">
        <f>1000000+2241000</f>
        <v>3241000</v>
      </c>
      <c r="U67" s="178">
        <v>-1282019.4</v>
      </c>
      <c r="V67" s="178"/>
      <c r="W67" s="178"/>
      <c r="X67" s="182">
        <f t="shared" si="4"/>
        <v>3058980.6</v>
      </c>
      <c r="Y67" s="232">
        <f t="shared" si="15"/>
        <v>0</v>
      </c>
    </row>
    <row r="68" spans="1:25" s="131" customFormat="1" ht="37.5">
      <c r="A68" s="138"/>
      <c r="B68" s="138"/>
      <c r="C68" s="137" t="s">
        <v>341</v>
      </c>
      <c r="D68" s="155">
        <f t="shared" si="13"/>
        <v>2192168.6</v>
      </c>
      <c r="E68" s="155"/>
      <c r="F68" s="155">
        <f t="shared" si="14"/>
        <v>2192168.6</v>
      </c>
      <c r="G68" s="155">
        <f>100000+2858000-765831.4</f>
        <v>2192168.6</v>
      </c>
      <c r="H68" s="204">
        <f>1128+146217.48-146217.48+146217.48</f>
        <v>147345.48</v>
      </c>
      <c r="I68" s="222"/>
      <c r="J68" s="209">
        <f t="shared" si="16"/>
        <v>6.721448341154051</v>
      </c>
      <c r="K68" s="216"/>
      <c r="L68" s="221">
        <f t="shared" si="17"/>
        <v>2044823.12</v>
      </c>
      <c r="M68" s="202"/>
      <c r="N68" s="178"/>
      <c r="O68" s="178"/>
      <c r="P68" s="178"/>
      <c r="Q68" s="178">
        <v>20000</v>
      </c>
      <c r="R68" s="178"/>
      <c r="S68" s="178">
        <f>80000+1429000</f>
        <v>1509000</v>
      </c>
      <c r="T68" s="178">
        <f>1429000</f>
        <v>1429000</v>
      </c>
      <c r="U68" s="178">
        <v>-765831.4</v>
      </c>
      <c r="V68" s="178"/>
      <c r="W68" s="178"/>
      <c r="X68" s="182">
        <f t="shared" si="4"/>
        <v>2192168.6</v>
      </c>
      <c r="Y68" s="232">
        <f t="shared" si="15"/>
        <v>0</v>
      </c>
    </row>
    <row r="69" spans="1:25" s="131" customFormat="1" ht="18.75">
      <c r="A69" s="138"/>
      <c r="B69" s="138"/>
      <c r="C69" s="137" t="s">
        <v>342</v>
      </c>
      <c r="D69" s="155">
        <f t="shared" si="13"/>
        <v>7157000</v>
      </c>
      <c r="E69" s="155"/>
      <c r="F69" s="155">
        <f t="shared" si="14"/>
        <v>7157000</v>
      </c>
      <c r="G69" s="155">
        <f>200000+6957000</f>
        <v>7157000</v>
      </c>
      <c r="H69" s="204">
        <f>9087-5997+1281.6</f>
        <v>4371.6</v>
      </c>
      <c r="I69" s="222"/>
      <c r="J69" s="209">
        <f t="shared" si="16"/>
        <v>0.06108145871175074</v>
      </c>
      <c r="K69" s="216"/>
      <c r="L69" s="221">
        <f t="shared" si="17"/>
        <v>7152628.4</v>
      </c>
      <c r="M69" s="202"/>
      <c r="N69" s="178"/>
      <c r="O69" s="178"/>
      <c r="P69" s="178"/>
      <c r="Q69" s="178">
        <v>10000</v>
      </c>
      <c r="R69" s="178"/>
      <c r="S69" s="178">
        <v>190000</v>
      </c>
      <c r="T69" s="178"/>
      <c r="U69" s="178">
        <f>6957000</f>
        <v>6957000</v>
      </c>
      <c r="V69" s="178"/>
      <c r="W69" s="178"/>
      <c r="X69" s="182">
        <f t="shared" si="4"/>
        <v>7157000</v>
      </c>
      <c r="Y69" s="232">
        <f t="shared" si="15"/>
        <v>0</v>
      </c>
    </row>
    <row r="70" spans="1:25" s="131" customFormat="1" ht="18.75">
      <c r="A70" s="138"/>
      <c r="B70" s="138"/>
      <c r="C70" s="137" t="s">
        <v>343</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32">
        <f t="shared" si="15"/>
        <v>0</v>
      </c>
    </row>
    <row r="71" spans="1:25" s="131" customFormat="1" ht="37.5">
      <c r="A71" s="138"/>
      <c r="B71" s="138"/>
      <c r="C71" s="137" t="s">
        <v>344</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32">
        <f t="shared" si="15"/>
        <v>0</v>
      </c>
    </row>
    <row r="72" spans="1:25" s="131" customFormat="1" ht="37.5">
      <c r="A72" s="138"/>
      <c r="B72" s="138"/>
      <c r="C72" s="137" t="s">
        <v>345</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2">
        <f t="shared" si="15"/>
        <v>0</v>
      </c>
    </row>
    <row r="73" spans="1:25" s="131" customFormat="1" ht="18.75">
      <c r="A73" s="138"/>
      <c r="B73" s="138"/>
      <c r="C73" s="137" t="s">
        <v>346</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32">
        <f t="shared" si="15"/>
        <v>0</v>
      </c>
    </row>
    <row r="74" spans="1:25" s="131" customFormat="1" ht="37.5">
      <c r="A74" s="138"/>
      <c r="B74" s="138"/>
      <c r="C74" s="137" t="s">
        <v>207</v>
      </c>
      <c r="D74" s="155">
        <f t="shared" si="13"/>
        <v>2060251</v>
      </c>
      <c r="E74" s="155"/>
      <c r="F74" s="155">
        <f t="shared" si="14"/>
        <v>2060251</v>
      </c>
      <c r="G74" s="155">
        <f>100000+1960251</f>
        <v>2060251</v>
      </c>
      <c r="H74" s="204">
        <f>1334.4</f>
        <v>1334.4</v>
      </c>
      <c r="I74" s="222"/>
      <c r="J74" s="209">
        <f t="shared" si="18"/>
        <v>0.06476880729581008</v>
      </c>
      <c r="K74" s="216"/>
      <c r="L74" s="221">
        <f t="shared" si="17"/>
        <v>2058916.6</v>
      </c>
      <c r="M74" s="202"/>
      <c r="N74" s="178"/>
      <c r="O74" s="178"/>
      <c r="P74" s="178"/>
      <c r="Q74" s="178">
        <v>30000</v>
      </c>
      <c r="R74" s="178"/>
      <c r="S74" s="178">
        <v>70000</v>
      </c>
      <c r="T74" s="178"/>
      <c r="U74" s="178">
        <v>1960251</v>
      </c>
      <c r="V74" s="178"/>
      <c r="W74" s="178"/>
      <c r="X74" s="182">
        <f t="shared" si="4"/>
        <v>2060251</v>
      </c>
      <c r="Y74" s="232">
        <f t="shared" si="15"/>
        <v>0</v>
      </c>
    </row>
    <row r="75" spans="1:25" s="131" customFormat="1" ht="37.5">
      <c r="A75" s="138"/>
      <c r="B75" s="138"/>
      <c r="C75" s="137" t="s">
        <v>347</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92">SUM(M75:W75)</f>
        <v>11780</v>
      </c>
      <c r="Y75" s="232">
        <f t="shared" si="15"/>
        <v>0</v>
      </c>
    </row>
    <row r="76" spans="1:25" s="131" customFormat="1" ht="37.5">
      <c r="A76" s="138"/>
      <c r="B76" s="138"/>
      <c r="C76" s="137" t="s">
        <v>348</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32">
        <f t="shared" si="15"/>
        <v>0</v>
      </c>
    </row>
    <row r="77" spans="1:25" s="131" customFormat="1" ht="37.5">
      <c r="A77" s="138"/>
      <c r="B77" s="138"/>
      <c r="C77" s="137" t="s">
        <v>349</v>
      </c>
      <c r="D77" s="155">
        <f t="shared" si="13"/>
        <v>1151906</v>
      </c>
      <c r="E77" s="155"/>
      <c r="F77" s="155">
        <f t="shared" si="14"/>
        <v>1151906</v>
      </c>
      <c r="G77" s="155">
        <f>416000+735906</f>
        <v>1151906</v>
      </c>
      <c r="H77" s="204">
        <f>14777+174875+355039.6+349749.6+5253.39</f>
        <v>899694.59</v>
      </c>
      <c r="I77" s="222"/>
      <c r="J77" s="209">
        <f t="shared" si="18"/>
        <v>78.10486185504719</v>
      </c>
      <c r="K77" s="216"/>
      <c r="L77" s="221">
        <f t="shared" si="17"/>
        <v>252211.41000000003</v>
      </c>
      <c r="M77" s="202"/>
      <c r="N77" s="178"/>
      <c r="O77" s="178"/>
      <c r="P77" s="178">
        <v>20000</v>
      </c>
      <c r="Q77" s="178">
        <v>200000</v>
      </c>
      <c r="R77" s="178">
        <v>100000</v>
      </c>
      <c r="S77" s="178">
        <f>96000+367953</f>
        <v>463953</v>
      </c>
      <c r="T77" s="178">
        <v>367953</v>
      </c>
      <c r="U77" s="178"/>
      <c r="V77" s="178"/>
      <c r="W77" s="178"/>
      <c r="X77" s="182">
        <f t="shared" si="19"/>
        <v>1151906</v>
      </c>
      <c r="Y77" s="232">
        <f t="shared" si="15"/>
        <v>0</v>
      </c>
    </row>
    <row r="78" spans="1:25" s="131" customFormat="1" ht="37.5">
      <c r="A78" s="138"/>
      <c r="B78" s="138"/>
      <c r="C78" s="137" t="s">
        <v>350</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32">
        <f t="shared" si="15"/>
        <v>0</v>
      </c>
    </row>
    <row r="79" spans="1:25" s="131" customFormat="1" ht="37.5">
      <c r="A79" s="138"/>
      <c r="B79" s="138"/>
      <c r="C79" s="137" t="s">
        <v>351</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32">
        <f t="shared" si="15"/>
        <v>0</v>
      </c>
    </row>
    <row r="80" spans="1:25" s="131" customFormat="1" ht="37.5">
      <c r="A80" s="138"/>
      <c r="B80" s="138"/>
      <c r="C80" s="137" t="s">
        <v>352</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32">
        <f t="shared" si="15"/>
        <v>0</v>
      </c>
    </row>
    <row r="81" spans="1:25" s="131" customFormat="1" ht="37.5">
      <c r="A81" s="138"/>
      <c r="B81" s="138"/>
      <c r="C81" s="137" t="s">
        <v>353</v>
      </c>
      <c r="D81" s="155">
        <f t="shared" si="13"/>
        <v>412059.78</v>
      </c>
      <c r="E81" s="155"/>
      <c r="F81" s="155">
        <f t="shared" si="14"/>
        <v>412059.78</v>
      </c>
      <c r="G81" s="155">
        <v>412059.78</v>
      </c>
      <c r="H81" s="204">
        <f>200655.6</f>
        <v>200655.6</v>
      </c>
      <c r="I81" s="222"/>
      <c r="J81" s="209">
        <f t="shared" si="18"/>
        <v>48.69574992249911</v>
      </c>
      <c r="K81" s="216"/>
      <c r="L81" s="221">
        <f t="shared" si="17"/>
        <v>211404.18000000002</v>
      </c>
      <c r="M81" s="202"/>
      <c r="N81" s="178"/>
      <c r="O81" s="178"/>
      <c r="P81" s="178">
        <v>100000</v>
      </c>
      <c r="Q81" s="178">
        <v>200000</v>
      </c>
      <c r="R81" s="178">
        <v>112059.78</v>
      </c>
      <c r="S81" s="178"/>
      <c r="T81" s="178"/>
      <c r="U81" s="178"/>
      <c r="V81" s="178"/>
      <c r="W81" s="178"/>
      <c r="X81" s="182">
        <f t="shared" si="19"/>
        <v>412059.78</v>
      </c>
      <c r="Y81" s="232">
        <f t="shared" si="15"/>
        <v>0</v>
      </c>
    </row>
    <row r="82" spans="1:25" s="131" customFormat="1" ht="37.5">
      <c r="A82" s="138"/>
      <c r="B82" s="138"/>
      <c r="C82" s="137" t="s">
        <v>354</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32">
        <f t="shared" si="15"/>
        <v>0</v>
      </c>
    </row>
    <row r="83" spans="1:25" s="131" customFormat="1" ht="37.5">
      <c r="A83" s="138"/>
      <c r="B83" s="138"/>
      <c r="C83" s="137" t="s">
        <v>355</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32">
        <f t="shared" si="15"/>
        <v>0</v>
      </c>
    </row>
    <row r="84" spans="1:25" s="131" customFormat="1" ht="18.75">
      <c r="A84" s="138"/>
      <c r="B84" s="138"/>
      <c r="C84" s="137" t="s">
        <v>192</v>
      </c>
      <c r="D84" s="155">
        <f t="shared" si="13"/>
        <v>300000</v>
      </c>
      <c r="E84" s="155"/>
      <c r="F84" s="155">
        <f t="shared" si="14"/>
        <v>300000</v>
      </c>
      <c r="G84" s="155">
        <v>300000</v>
      </c>
      <c r="H84" s="204">
        <f>48143.1+5904</f>
        <v>54047.1</v>
      </c>
      <c r="I84" s="222"/>
      <c r="J84" s="209">
        <f t="shared" si="18"/>
        <v>18.0157</v>
      </c>
      <c r="K84" s="216"/>
      <c r="L84" s="221">
        <f t="shared" si="17"/>
        <v>245952.9</v>
      </c>
      <c r="M84" s="202"/>
      <c r="N84" s="178"/>
      <c r="O84" s="178"/>
      <c r="P84" s="178"/>
      <c r="Q84" s="178"/>
      <c r="R84" s="178">
        <v>100000</v>
      </c>
      <c r="S84" s="178">
        <v>100000</v>
      </c>
      <c r="T84" s="178">
        <v>100000</v>
      </c>
      <c r="U84" s="178"/>
      <c r="V84" s="178"/>
      <c r="W84" s="178"/>
      <c r="X84" s="182">
        <f t="shared" si="19"/>
        <v>300000</v>
      </c>
      <c r="Y84" s="232">
        <f t="shared" si="15"/>
        <v>0</v>
      </c>
    </row>
    <row r="85" spans="1:25" s="131" customFormat="1" ht="37.5">
      <c r="A85" s="138"/>
      <c r="B85" s="138"/>
      <c r="C85" s="137" t="s">
        <v>356</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32">
        <f t="shared" si="15"/>
        <v>0</v>
      </c>
    </row>
    <row r="86" spans="1:24" ht="18.75">
      <c r="A86" s="164"/>
      <c r="B86" s="169"/>
      <c r="C86" s="165" t="s">
        <v>197</v>
      </c>
      <c r="D86" s="152">
        <f>D7+D42+D39</f>
        <v>77569869.11</v>
      </c>
      <c r="E86" s="152">
        <f>E7+E42+E39</f>
        <v>15500000</v>
      </c>
      <c r="F86" s="152">
        <f>F7+F42+F39</f>
        <v>62069869.11000001</v>
      </c>
      <c r="G86" s="152">
        <f>G7+G42+G39</f>
        <v>58351095.46</v>
      </c>
      <c r="H86" s="175">
        <f>H7+H42+H39</f>
        <v>22056667.61</v>
      </c>
      <c r="I86" s="175"/>
      <c r="J86" s="227">
        <f>H86/(M86+N86+O86+P86+Q86+R86+S86+T86+U86)*100</f>
        <v>29.749947804523586</v>
      </c>
      <c r="K86" s="218"/>
      <c r="L86" s="220">
        <f>M86+N86+O86+P86+Q86+R86+S86+T86+U86-H86</f>
        <v>52083521.66000001</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26683527.07</v>
      </c>
      <c r="U86" s="152">
        <f t="shared" si="20"/>
        <v>13362261.21</v>
      </c>
      <c r="V86" s="152">
        <f t="shared" si="20"/>
        <v>2700000</v>
      </c>
      <c r="W86" s="152">
        <f>W7+W42+W39</f>
        <v>729679.8400000001</v>
      </c>
      <c r="X86" s="152">
        <f>X7+X42+X39</f>
        <v>77569869.11</v>
      </c>
    </row>
    <row r="87" spans="1:6" ht="18.75">
      <c r="A87" s="144"/>
      <c r="B87" s="139"/>
      <c r="C87" s="166"/>
      <c r="D87" s="167"/>
      <c r="E87" s="139"/>
      <c r="F87" s="139"/>
    </row>
    <row r="88" spans="1:6" ht="18.75">
      <c r="A88" s="139"/>
      <c r="B88" s="140"/>
      <c r="C88" s="141"/>
      <c r="D88" s="142"/>
      <c r="E88" s="140"/>
      <c r="F88" s="139"/>
    </row>
    <row r="89" spans="1:7" ht="33" customHeight="1">
      <c r="A89" s="277"/>
      <c r="B89" s="277"/>
      <c r="C89" s="277"/>
      <c r="D89" s="145"/>
      <c r="E89" s="145"/>
      <c r="F89" s="145"/>
      <c r="G89" s="145"/>
    </row>
  </sheetData>
  <sheetProtection/>
  <mergeCells count="13">
    <mergeCell ref="J4:J5"/>
    <mergeCell ref="I4:I5"/>
    <mergeCell ref="A38:J38"/>
    <mergeCell ref="A89:C89"/>
    <mergeCell ref="A6:J6"/>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2015-10-29T12:45:06Z</dcterms:modified>
  <cp:category/>
  <cp:version/>
  <cp:contentType/>
  <cp:contentStatus/>
</cp:coreProperties>
</file>